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教师面试成绩册" sheetId="1" r:id="rId1"/>
  </sheets>
  <definedNames/>
  <calcPr fullCalcOnLoad="1"/>
</workbook>
</file>

<file path=xl/sharedStrings.xml><?xml version="1.0" encoding="utf-8"?>
<sst xmlns="http://schemas.openxmlformats.org/spreadsheetml/2006/main" count="144" uniqueCount="44">
  <si>
    <t>缺考</t>
  </si>
  <si>
    <t>自愿放弃</t>
  </si>
  <si>
    <t>余昌静</t>
  </si>
  <si>
    <t>郭瓒</t>
  </si>
  <si>
    <t>600095</t>
  </si>
  <si>
    <t>甘立旭</t>
  </si>
  <si>
    <t>李浩</t>
  </si>
  <si>
    <t>廖志强</t>
  </si>
  <si>
    <t>刘欣欣</t>
  </si>
  <si>
    <t>王靖</t>
  </si>
  <si>
    <t>蒋磊</t>
  </si>
  <si>
    <t>冯军</t>
  </si>
  <si>
    <t>林龙</t>
  </si>
  <si>
    <t>曾川</t>
  </si>
  <si>
    <t>刘亚辉</t>
  </si>
  <si>
    <t>陈大昌</t>
  </si>
  <si>
    <t>丁勇</t>
  </si>
  <si>
    <t>600096</t>
  </si>
  <si>
    <t>方小余</t>
  </si>
  <si>
    <t>曾西肸</t>
  </si>
  <si>
    <t>唐杨尧</t>
  </si>
  <si>
    <t>肖盆</t>
  </si>
  <si>
    <t>李沁东</t>
  </si>
  <si>
    <t>于涛志</t>
  </si>
  <si>
    <t>陈石</t>
  </si>
  <si>
    <t>蒲川</t>
  </si>
  <si>
    <t>周锦梁</t>
  </si>
  <si>
    <t>张驰</t>
  </si>
  <si>
    <t>寇洪钧</t>
  </si>
  <si>
    <t>朱子华</t>
  </si>
  <si>
    <t>罗洋</t>
  </si>
  <si>
    <t>侯成超</t>
  </si>
  <si>
    <t>陈虹任</t>
  </si>
  <si>
    <t>周愉乐</t>
  </si>
  <si>
    <t>李飞</t>
  </si>
  <si>
    <t>杨平</t>
  </si>
  <si>
    <t>缺考</t>
  </si>
  <si>
    <t>5860406011927</t>
  </si>
  <si>
    <t>教师面试成绩册</t>
  </si>
  <si>
    <t>姓名</t>
  </si>
  <si>
    <t>准考证号码</t>
  </si>
  <si>
    <t>岗位编码</t>
  </si>
  <si>
    <t>面试成绩</t>
  </si>
  <si>
    <t>附件：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</si>
</sst>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7">
    <font>
      <sz val="12"/>
      <name val="宋体"/>
      <family val="0"/>
    </font>
    <font>
      <sz val="9"/>
      <name val="宋体"/>
      <family val="0"/>
    </font>
    <font>
      <sz val="11"/>
      <color indexed="8"/>
      <name val="仿宋_GB2312"/>
      <family val="3"/>
    </font>
    <font>
      <sz val="12"/>
      <color indexed="8"/>
      <name val="仿宋_GB2312"/>
      <family val="3"/>
    </font>
    <font>
      <sz val="20"/>
      <name val="方正大标宋简体"/>
      <family val="4"/>
    </font>
    <font>
      <sz val="12"/>
      <name val="仿宋_GB2312"/>
      <family val="3"/>
    </font>
    <font>
      <sz val="11"/>
      <name val="黑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176" fontId="3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53"/>
  <sheetViews>
    <sheetView tabSelected="1" zoomScale="160" zoomScaleNormal="160" workbookViewId="0" topLeftCell="A1">
      <selection activeCell="A2" sqref="A2:D2"/>
    </sheetView>
  </sheetViews>
  <sheetFormatPr defaultColWidth="9.00390625" defaultRowHeight="14.25"/>
  <cols>
    <col min="1" max="1" width="15.00390625" style="0" customWidth="1"/>
    <col min="2" max="2" width="24.875" style="0" customWidth="1"/>
    <col min="3" max="3" width="14.875" style="0" customWidth="1"/>
    <col min="4" max="4" width="18.875" style="0" customWidth="1"/>
  </cols>
  <sheetData>
    <row r="1" ht="18" customHeight="1">
      <c r="A1" s="9" t="s">
        <v>43</v>
      </c>
    </row>
    <row r="2" spans="1:4" ht="26.25">
      <c r="A2" s="11" t="s">
        <v>38</v>
      </c>
      <c r="B2" s="11"/>
      <c r="C2" s="11"/>
      <c r="D2" s="11"/>
    </row>
    <row r="3" spans="1:4" ht="22.5" customHeight="1">
      <c r="A3" s="10" t="s">
        <v>39</v>
      </c>
      <c r="B3" s="10" t="s">
        <v>40</v>
      </c>
      <c r="C3" s="10" t="s">
        <v>41</v>
      </c>
      <c r="D3" s="10" t="s">
        <v>42</v>
      </c>
    </row>
    <row r="4" spans="1:4" s="3" customFormat="1" ht="22.5" customHeight="1">
      <c r="A4" s="1" t="str">
        <f>"袁璐"</f>
        <v>袁璐</v>
      </c>
      <c r="B4" s="1" t="str">
        <f>"5860406010429"</f>
        <v>5860406010429</v>
      </c>
      <c r="C4" s="1" t="str">
        <f aca="true" t="shared" si="0" ref="C4:C14">"600002"</f>
        <v>600002</v>
      </c>
      <c r="D4" s="2">
        <v>78.33</v>
      </c>
    </row>
    <row r="5" spans="1:4" s="3" customFormat="1" ht="22.5" customHeight="1">
      <c r="A5" s="1" t="str">
        <f>"李越"</f>
        <v>李越</v>
      </c>
      <c r="B5" s="1" t="str">
        <f>"5860406010425"</f>
        <v>5860406010425</v>
      </c>
      <c r="C5" s="1" t="str">
        <f t="shared" si="0"/>
        <v>600002</v>
      </c>
      <c r="D5" s="2">
        <v>80</v>
      </c>
    </row>
    <row r="6" spans="1:4" s="3" customFormat="1" ht="22.5" customHeight="1">
      <c r="A6" s="1" t="str">
        <f>"王丽君"</f>
        <v>王丽君</v>
      </c>
      <c r="B6" s="1" t="str">
        <f>"5860406010507"</f>
        <v>5860406010507</v>
      </c>
      <c r="C6" s="1" t="str">
        <f t="shared" si="0"/>
        <v>600002</v>
      </c>
      <c r="D6" s="2">
        <v>81</v>
      </c>
    </row>
    <row r="7" spans="1:4" s="3" customFormat="1" ht="22.5" customHeight="1">
      <c r="A7" s="1" t="str">
        <f>"肖玉杨"</f>
        <v>肖玉杨</v>
      </c>
      <c r="B7" s="1" t="str">
        <f>"5860406010326"</f>
        <v>5860406010326</v>
      </c>
      <c r="C7" s="1" t="str">
        <f t="shared" si="0"/>
        <v>600002</v>
      </c>
      <c r="D7" s="2">
        <v>75</v>
      </c>
    </row>
    <row r="8" spans="1:4" s="3" customFormat="1" ht="22.5" customHeight="1">
      <c r="A8" s="1" t="str">
        <f>"伍雯霜"</f>
        <v>伍雯霜</v>
      </c>
      <c r="B8" s="1" t="str">
        <f>"5860406010411"</f>
        <v>5860406010411</v>
      </c>
      <c r="C8" s="1" t="str">
        <f t="shared" si="0"/>
        <v>600002</v>
      </c>
      <c r="D8" s="2">
        <v>79.67</v>
      </c>
    </row>
    <row r="9" spans="1:4" s="3" customFormat="1" ht="22.5" customHeight="1">
      <c r="A9" s="1" t="str">
        <f>"杨学柳"</f>
        <v>杨学柳</v>
      </c>
      <c r="B9" s="1" t="str">
        <f>"5860406010415"</f>
        <v>5860406010415</v>
      </c>
      <c r="C9" s="1" t="str">
        <f t="shared" si="0"/>
        <v>600002</v>
      </c>
      <c r="D9" s="2">
        <v>83.33</v>
      </c>
    </row>
    <row r="10" spans="1:4" s="3" customFormat="1" ht="22.5" customHeight="1">
      <c r="A10" s="1" t="str">
        <f>"李娅菲"</f>
        <v>李娅菲</v>
      </c>
      <c r="B10" s="1" t="str">
        <f>"5860406010418"</f>
        <v>5860406010418</v>
      </c>
      <c r="C10" s="1" t="str">
        <f t="shared" si="0"/>
        <v>600002</v>
      </c>
      <c r="D10" s="2">
        <v>84.33</v>
      </c>
    </row>
    <row r="11" spans="1:4" s="3" customFormat="1" ht="22.5" customHeight="1">
      <c r="A11" s="1" t="str">
        <f>"邓莉杨"</f>
        <v>邓莉杨</v>
      </c>
      <c r="B11" s="1" t="str">
        <f>"5860406010426"</f>
        <v>5860406010426</v>
      </c>
      <c r="C11" s="1" t="str">
        <f t="shared" si="0"/>
        <v>600002</v>
      </c>
      <c r="D11" s="2">
        <v>77.33</v>
      </c>
    </row>
    <row r="12" spans="1:4" s="3" customFormat="1" ht="22.5" customHeight="1">
      <c r="A12" s="1" t="str">
        <f>"王琴"</f>
        <v>王琴</v>
      </c>
      <c r="B12" s="1" t="str">
        <f>"5860406010416"</f>
        <v>5860406010416</v>
      </c>
      <c r="C12" s="1" t="str">
        <f t="shared" si="0"/>
        <v>600002</v>
      </c>
      <c r="D12" s="2">
        <v>77</v>
      </c>
    </row>
    <row r="13" spans="1:4" s="3" customFormat="1" ht="22.5" customHeight="1">
      <c r="A13" s="1" t="str">
        <f>"王燕"</f>
        <v>王燕</v>
      </c>
      <c r="B13" s="1" t="str">
        <f>"5860406010408"</f>
        <v>5860406010408</v>
      </c>
      <c r="C13" s="1" t="str">
        <f t="shared" si="0"/>
        <v>600002</v>
      </c>
      <c r="D13" s="2">
        <v>76</v>
      </c>
    </row>
    <row r="14" spans="1:4" s="3" customFormat="1" ht="22.5" customHeight="1">
      <c r="A14" s="1" t="str">
        <f>"曾雪琴"</f>
        <v>曾雪琴</v>
      </c>
      <c r="B14" s="1" t="str">
        <f>"5860406010407"</f>
        <v>5860406010407</v>
      </c>
      <c r="C14" s="1" t="str">
        <f t="shared" si="0"/>
        <v>600002</v>
      </c>
      <c r="D14" s="2">
        <v>74.33</v>
      </c>
    </row>
    <row r="15" spans="1:4" s="3" customFormat="1" ht="22.5" customHeight="1">
      <c r="A15" s="1" t="str">
        <f>"罗粒之"</f>
        <v>罗粒之</v>
      </c>
      <c r="B15" s="1" t="str">
        <f>"5860406011429"</f>
        <v>5860406011429</v>
      </c>
      <c r="C15" s="1" t="str">
        <f aca="true" t="shared" si="1" ref="C15:C35">"600017"</f>
        <v>600017</v>
      </c>
      <c r="D15" s="2">
        <v>75.67</v>
      </c>
    </row>
    <row r="16" spans="1:4" s="3" customFormat="1" ht="22.5" customHeight="1">
      <c r="A16" s="1" t="str">
        <f>"宋柏芬"</f>
        <v>宋柏芬</v>
      </c>
      <c r="B16" s="1" t="str">
        <f>"5860406011505"</f>
        <v>5860406011505</v>
      </c>
      <c r="C16" s="1" t="str">
        <f t="shared" si="1"/>
        <v>600017</v>
      </c>
      <c r="D16" s="2">
        <v>71.33</v>
      </c>
    </row>
    <row r="17" spans="1:4" s="3" customFormat="1" ht="22.5" customHeight="1">
      <c r="A17" s="1" t="str">
        <f>"胡涵"</f>
        <v>胡涵</v>
      </c>
      <c r="B17" s="1" t="str">
        <f>"5860406011509"</f>
        <v>5860406011509</v>
      </c>
      <c r="C17" s="1" t="str">
        <f t="shared" si="1"/>
        <v>600017</v>
      </c>
      <c r="D17" s="2" t="s">
        <v>0</v>
      </c>
    </row>
    <row r="18" spans="1:4" s="3" customFormat="1" ht="22.5" customHeight="1">
      <c r="A18" s="1" t="str">
        <f>"余婷婷"</f>
        <v>余婷婷</v>
      </c>
      <c r="B18" s="1" t="str">
        <f>"5860406011517"</f>
        <v>5860406011517</v>
      </c>
      <c r="C18" s="1" t="str">
        <f t="shared" si="1"/>
        <v>600017</v>
      </c>
      <c r="D18" s="2">
        <v>78.67</v>
      </c>
    </row>
    <row r="19" spans="1:4" s="3" customFormat="1" ht="22.5" customHeight="1">
      <c r="A19" s="1" t="str">
        <f>"周雪"</f>
        <v>周雪</v>
      </c>
      <c r="B19" s="1" t="str">
        <f>"5860406011518"</f>
        <v>5860406011518</v>
      </c>
      <c r="C19" s="1" t="str">
        <f t="shared" si="1"/>
        <v>600017</v>
      </c>
      <c r="D19" s="2">
        <v>79.67</v>
      </c>
    </row>
    <row r="20" spans="1:4" s="3" customFormat="1" ht="22.5" customHeight="1">
      <c r="A20" s="1" t="str">
        <f>"王琰"</f>
        <v>王琰</v>
      </c>
      <c r="B20" s="1" t="str">
        <f>"5860406011520"</f>
        <v>5860406011520</v>
      </c>
      <c r="C20" s="1" t="str">
        <f t="shared" si="1"/>
        <v>600017</v>
      </c>
      <c r="D20" s="2">
        <v>82.33</v>
      </c>
    </row>
    <row r="21" spans="1:4" s="3" customFormat="1" ht="22.5" customHeight="1">
      <c r="A21" s="1" t="str">
        <f>"王方"</f>
        <v>王方</v>
      </c>
      <c r="B21" s="1" t="str">
        <f>"5860406011521"</f>
        <v>5860406011521</v>
      </c>
      <c r="C21" s="1" t="str">
        <f t="shared" si="1"/>
        <v>600017</v>
      </c>
      <c r="D21" s="2">
        <v>78.67</v>
      </c>
    </row>
    <row r="22" spans="1:4" s="3" customFormat="1" ht="22.5" customHeight="1">
      <c r="A22" s="1" t="str">
        <f>"杨会"</f>
        <v>杨会</v>
      </c>
      <c r="B22" s="1" t="str">
        <f>"5860406011503"</f>
        <v>5860406011503</v>
      </c>
      <c r="C22" s="1" t="str">
        <f t="shared" si="1"/>
        <v>600017</v>
      </c>
      <c r="D22" s="2">
        <v>74.67</v>
      </c>
    </row>
    <row r="23" spans="1:4" s="3" customFormat="1" ht="22.5" customHeight="1">
      <c r="A23" s="1" t="str">
        <f>"向明强"</f>
        <v>向明强</v>
      </c>
      <c r="B23" s="1" t="str">
        <f>"5860406011512"</f>
        <v>5860406011512</v>
      </c>
      <c r="C23" s="1" t="str">
        <f t="shared" si="1"/>
        <v>600017</v>
      </c>
      <c r="D23" s="2">
        <v>80</v>
      </c>
    </row>
    <row r="24" spans="1:4" s="3" customFormat="1" ht="22.5" customHeight="1">
      <c r="A24" s="1" t="str">
        <f>"周莹"</f>
        <v>周莹</v>
      </c>
      <c r="B24" s="1" t="str">
        <f>"5860406011523"</f>
        <v>5860406011523</v>
      </c>
      <c r="C24" s="1" t="str">
        <f t="shared" si="1"/>
        <v>600017</v>
      </c>
      <c r="D24" s="2">
        <v>77</v>
      </c>
    </row>
    <row r="25" spans="1:4" s="3" customFormat="1" ht="22.5" customHeight="1">
      <c r="A25" s="1" t="str">
        <f>"张辉爱"</f>
        <v>张辉爱</v>
      </c>
      <c r="B25" s="1" t="str">
        <f>"5860406011501"</f>
        <v>5860406011501</v>
      </c>
      <c r="C25" s="1" t="str">
        <f t="shared" si="1"/>
        <v>600017</v>
      </c>
      <c r="D25" s="2">
        <v>78.67</v>
      </c>
    </row>
    <row r="26" spans="1:4" s="3" customFormat="1" ht="22.5" customHeight="1">
      <c r="A26" s="1" t="str">
        <f>"廖元杰"</f>
        <v>廖元杰</v>
      </c>
      <c r="B26" s="1" t="str">
        <f>"5860406011430"</f>
        <v>5860406011430</v>
      </c>
      <c r="C26" s="1" t="str">
        <f t="shared" si="1"/>
        <v>600017</v>
      </c>
      <c r="D26" s="2">
        <v>78.33</v>
      </c>
    </row>
    <row r="27" spans="1:4" s="3" customFormat="1" ht="22.5" customHeight="1">
      <c r="A27" s="1" t="str">
        <f>"周红"</f>
        <v>周红</v>
      </c>
      <c r="B27" s="1" t="str">
        <f>"5860406011504"</f>
        <v>5860406011504</v>
      </c>
      <c r="C27" s="1" t="str">
        <f t="shared" si="1"/>
        <v>600017</v>
      </c>
      <c r="D27" s="2">
        <v>74.67</v>
      </c>
    </row>
    <row r="28" spans="1:4" s="3" customFormat="1" ht="22.5" customHeight="1">
      <c r="A28" s="1" t="str">
        <f>"杨芯"</f>
        <v>杨芯</v>
      </c>
      <c r="B28" s="1" t="str">
        <f>"5860406011522"</f>
        <v>5860406011522</v>
      </c>
      <c r="C28" s="1" t="str">
        <f t="shared" si="1"/>
        <v>600017</v>
      </c>
      <c r="D28" s="2">
        <v>76.67</v>
      </c>
    </row>
    <row r="29" spans="1:4" s="3" customFormat="1" ht="22.5" customHeight="1">
      <c r="A29" s="1" t="str">
        <f>"胡芳"</f>
        <v>胡芳</v>
      </c>
      <c r="B29" s="1" t="str">
        <f>"5860406011427"</f>
        <v>5860406011427</v>
      </c>
      <c r="C29" s="1" t="str">
        <f t="shared" si="1"/>
        <v>600017</v>
      </c>
      <c r="D29" s="2">
        <v>75.33</v>
      </c>
    </row>
    <row r="30" spans="1:4" s="3" customFormat="1" ht="22.5" customHeight="1">
      <c r="A30" s="1" t="str">
        <f>"张信利"</f>
        <v>张信利</v>
      </c>
      <c r="B30" s="1" t="str">
        <f>"5860406011513"</f>
        <v>5860406011513</v>
      </c>
      <c r="C30" s="1" t="str">
        <f t="shared" si="1"/>
        <v>600017</v>
      </c>
      <c r="D30" s="2">
        <v>75.33</v>
      </c>
    </row>
    <row r="31" spans="1:4" s="3" customFormat="1" ht="22.5" customHeight="1">
      <c r="A31" s="1" t="str">
        <f>"杨淑娟"</f>
        <v>杨淑娟</v>
      </c>
      <c r="B31" s="1" t="str">
        <f>"5860406011519"</f>
        <v>5860406011519</v>
      </c>
      <c r="C31" s="1" t="str">
        <f t="shared" si="1"/>
        <v>600017</v>
      </c>
      <c r="D31" s="2">
        <v>77</v>
      </c>
    </row>
    <row r="32" spans="1:4" s="3" customFormat="1" ht="22.5" customHeight="1">
      <c r="A32" s="1" t="str">
        <f>"李世洁"</f>
        <v>李世洁</v>
      </c>
      <c r="B32" s="1" t="str">
        <f>"5860406011502"</f>
        <v>5860406011502</v>
      </c>
      <c r="C32" s="1" t="str">
        <f t="shared" si="1"/>
        <v>600017</v>
      </c>
      <c r="D32" s="2">
        <v>76.67</v>
      </c>
    </row>
    <row r="33" spans="1:4" s="3" customFormat="1" ht="22.5" customHeight="1">
      <c r="A33" s="1" t="str">
        <f>"彭薇"</f>
        <v>彭薇</v>
      </c>
      <c r="B33" s="1" t="str">
        <f>"5860406011515"</f>
        <v>5860406011515</v>
      </c>
      <c r="C33" s="1" t="str">
        <f t="shared" si="1"/>
        <v>600017</v>
      </c>
      <c r="D33" s="2">
        <v>80.67</v>
      </c>
    </row>
    <row r="34" spans="1:4" s="3" customFormat="1" ht="22.5" customHeight="1">
      <c r="A34" s="1" t="str">
        <f>"李智慧"</f>
        <v>李智慧</v>
      </c>
      <c r="B34" s="1" t="str">
        <f>"5860406011508"</f>
        <v>5860406011508</v>
      </c>
      <c r="C34" s="1" t="str">
        <f t="shared" si="1"/>
        <v>600017</v>
      </c>
      <c r="D34" s="2">
        <v>72.67</v>
      </c>
    </row>
    <row r="35" spans="1:4" s="3" customFormat="1" ht="22.5" customHeight="1">
      <c r="A35" s="1" t="str">
        <f>"张力"</f>
        <v>张力</v>
      </c>
      <c r="B35" s="1" t="str">
        <f>"5860406011428"</f>
        <v>5860406011428</v>
      </c>
      <c r="C35" s="1" t="str">
        <f t="shared" si="1"/>
        <v>600017</v>
      </c>
      <c r="D35" s="2">
        <v>79.67</v>
      </c>
    </row>
    <row r="36" spans="1:4" s="3" customFormat="1" ht="22.5" customHeight="1">
      <c r="A36" s="1" t="str">
        <f>"朱丽华"</f>
        <v>朱丽华</v>
      </c>
      <c r="B36" s="1" t="str">
        <f>"5860406011619"</f>
        <v>5860406011619</v>
      </c>
      <c r="C36" s="1" t="str">
        <f>"600019"</f>
        <v>600019</v>
      </c>
      <c r="D36" s="2">
        <v>81.66</v>
      </c>
    </row>
    <row r="37" spans="1:4" s="3" customFormat="1" ht="22.5" customHeight="1">
      <c r="A37" s="1" t="str">
        <f>"贺川铭"</f>
        <v>贺川铭</v>
      </c>
      <c r="B37" s="1" t="str">
        <f>"5860406011620"</f>
        <v>5860406011620</v>
      </c>
      <c r="C37" s="1" t="str">
        <f>"600019"</f>
        <v>600019</v>
      </c>
      <c r="D37" s="2">
        <v>74</v>
      </c>
    </row>
    <row r="38" spans="1:4" s="3" customFormat="1" ht="22.5" customHeight="1">
      <c r="A38" s="1" t="str">
        <f>"周金华"</f>
        <v>周金华</v>
      </c>
      <c r="B38" s="1" t="str">
        <f>"5860406011915"</f>
        <v>5860406011915</v>
      </c>
      <c r="C38" s="1" t="str">
        <f>"600038"</f>
        <v>600038</v>
      </c>
      <c r="D38" s="2">
        <v>78.83</v>
      </c>
    </row>
    <row r="39" spans="1:4" s="3" customFormat="1" ht="22.5" customHeight="1">
      <c r="A39" s="1" t="str">
        <f>"张九生"</f>
        <v>张九生</v>
      </c>
      <c r="B39" s="1" t="str">
        <f>"5860406011917"</f>
        <v>5860406011917</v>
      </c>
      <c r="C39" s="1" t="str">
        <f>"600038"</f>
        <v>600038</v>
      </c>
      <c r="D39" s="2">
        <v>77.33</v>
      </c>
    </row>
    <row r="40" spans="1:4" s="3" customFormat="1" ht="22.5" customHeight="1">
      <c r="A40" s="1" t="str">
        <f>"刘艳红"</f>
        <v>刘艳红</v>
      </c>
      <c r="B40" s="1" t="str">
        <f>"5860406012021"</f>
        <v>5860406012021</v>
      </c>
      <c r="C40" s="1" t="str">
        <f>"600046"</f>
        <v>600046</v>
      </c>
      <c r="D40" s="2">
        <v>77.66</v>
      </c>
    </row>
    <row r="41" spans="1:4" s="3" customFormat="1" ht="22.5" customHeight="1">
      <c r="A41" s="1" t="str">
        <f>"丁丹"</f>
        <v>丁丹</v>
      </c>
      <c r="B41" s="1" t="str">
        <f>"5860406012022"</f>
        <v>5860406012022</v>
      </c>
      <c r="C41" s="1" t="str">
        <f>"600046"</f>
        <v>600046</v>
      </c>
      <c r="D41" s="2">
        <v>83.33</v>
      </c>
    </row>
    <row r="42" spans="1:4" s="3" customFormat="1" ht="22.5" customHeight="1">
      <c r="A42" s="1" t="str">
        <f>"丁小花"</f>
        <v>丁小花</v>
      </c>
      <c r="B42" s="1" t="str">
        <f>"5860406012417"</f>
        <v>5860406012417</v>
      </c>
      <c r="C42" s="1" t="str">
        <f>"600052"</f>
        <v>600052</v>
      </c>
      <c r="D42" s="2">
        <v>71.66</v>
      </c>
    </row>
    <row r="43" spans="1:4" s="3" customFormat="1" ht="22.5" customHeight="1">
      <c r="A43" s="1" t="str">
        <f>"甘梅"</f>
        <v>甘梅</v>
      </c>
      <c r="B43" s="1" t="str">
        <f>"5860406012026"</f>
        <v>5860406012026</v>
      </c>
      <c r="C43" s="1" t="str">
        <f aca="true" t="shared" si="2" ref="C43:C62">"600048"</f>
        <v>600048</v>
      </c>
      <c r="D43" s="2">
        <v>76.66</v>
      </c>
    </row>
    <row r="44" spans="1:4" s="3" customFormat="1" ht="22.5" customHeight="1">
      <c r="A44" s="1" t="str">
        <f>"李兰"</f>
        <v>李兰</v>
      </c>
      <c r="B44" s="1" t="str">
        <f>"5860406012029"</f>
        <v>5860406012029</v>
      </c>
      <c r="C44" s="1" t="str">
        <f t="shared" si="2"/>
        <v>600048</v>
      </c>
      <c r="D44" s="2">
        <v>79.66</v>
      </c>
    </row>
    <row r="45" spans="1:4" s="3" customFormat="1" ht="22.5" customHeight="1">
      <c r="A45" s="1" t="str">
        <f>"黄群焯"</f>
        <v>黄群焯</v>
      </c>
      <c r="B45" s="1" t="str">
        <f>"5860406012120"</f>
        <v>5860406012120</v>
      </c>
      <c r="C45" s="1" t="str">
        <f t="shared" si="2"/>
        <v>600048</v>
      </c>
      <c r="D45" s="2">
        <v>81</v>
      </c>
    </row>
    <row r="46" spans="1:4" s="3" customFormat="1" ht="22.5" customHeight="1">
      <c r="A46" s="1" t="str">
        <f>"张柳"</f>
        <v>张柳</v>
      </c>
      <c r="B46" s="1" t="str">
        <f>"5860406012025"</f>
        <v>5860406012025</v>
      </c>
      <c r="C46" s="1" t="str">
        <f t="shared" si="2"/>
        <v>600048</v>
      </c>
      <c r="D46" s="2">
        <v>83</v>
      </c>
    </row>
    <row r="47" spans="1:4" s="3" customFormat="1" ht="22.5" customHeight="1">
      <c r="A47" s="1" t="str">
        <f>"蒋丽珠"</f>
        <v>蒋丽珠</v>
      </c>
      <c r="B47" s="1" t="str">
        <f>"5860406012123"</f>
        <v>5860406012123</v>
      </c>
      <c r="C47" s="1" t="str">
        <f t="shared" si="2"/>
        <v>600048</v>
      </c>
      <c r="D47" s="2">
        <v>85.33</v>
      </c>
    </row>
    <row r="48" spans="1:4" s="3" customFormat="1" ht="22.5" customHeight="1">
      <c r="A48" s="1" t="str">
        <f>"吴素洪"</f>
        <v>吴素洪</v>
      </c>
      <c r="B48" s="1" t="str">
        <f>"5860406012124"</f>
        <v>5860406012124</v>
      </c>
      <c r="C48" s="1" t="str">
        <f t="shared" si="2"/>
        <v>600048</v>
      </c>
      <c r="D48" s="2">
        <v>84.33</v>
      </c>
    </row>
    <row r="49" spans="1:4" s="3" customFormat="1" ht="22.5" customHeight="1">
      <c r="A49" s="1" t="str">
        <f>"张齐英"</f>
        <v>张齐英</v>
      </c>
      <c r="B49" s="1" t="str">
        <f>"5860406012130"</f>
        <v>5860406012130</v>
      </c>
      <c r="C49" s="1" t="str">
        <f t="shared" si="2"/>
        <v>600048</v>
      </c>
      <c r="D49" s="2">
        <v>84.66</v>
      </c>
    </row>
    <row r="50" spans="1:4" s="3" customFormat="1" ht="22.5" customHeight="1">
      <c r="A50" s="1" t="str">
        <f>"吴泽伟"</f>
        <v>吴泽伟</v>
      </c>
      <c r="B50" s="1" t="str">
        <f>"5860406012122"</f>
        <v>5860406012122</v>
      </c>
      <c r="C50" s="1" t="str">
        <f t="shared" si="2"/>
        <v>600048</v>
      </c>
      <c r="D50" s="2">
        <v>80.33</v>
      </c>
    </row>
    <row r="51" spans="1:4" s="3" customFormat="1" ht="22.5" customHeight="1">
      <c r="A51" s="1" t="str">
        <f>"杨晓琳"</f>
        <v>杨晓琳</v>
      </c>
      <c r="B51" s="1" t="str">
        <f>"5860406012126"</f>
        <v>5860406012126</v>
      </c>
      <c r="C51" s="1" t="str">
        <f t="shared" si="2"/>
        <v>600048</v>
      </c>
      <c r="D51" s="2">
        <v>82.33</v>
      </c>
    </row>
    <row r="52" spans="1:4" s="3" customFormat="1" ht="22.5" customHeight="1">
      <c r="A52" s="1" t="str">
        <f>"甘元江"</f>
        <v>甘元江</v>
      </c>
      <c r="B52" s="1" t="str">
        <f>"5860406012203"</f>
        <v>5860406012203</v>
      </c>
      <c r="C52" s="1" t="str">
        <f t="shared" si="2"/>
        <v>600048</v>
      </c>
      <c r="D52" s="2">
        <v>84.66</v>
      </c>
    </row>
    <row r="53" spans="1:4" s="3" customFormat="1" ht="22.5" customHeight="1">
      <c r="A53" s="1" t="str">
        <f>"江金阳"</f>
        <v>江金阳</v>
      </c>
      <c r="B53" s="1" t="str">
        <f>"5860406012106"</f>
        <v>5860406012106</v>
      </c>
      <c r="C53" s="1" t="str">
        <f t="shared" si="2"/>
        <v>600048</v>
      </c>
      <c r="D53" s="2">
        <v>76.66</v>
      </c>
    </row>
    <row r="54" spans="1:4" s="3" customFormat="1" ht="22.5" customHeight="1">
      <c r="A54" s="1" t="str">
        <f>"白超燕"</f>
        <v>白超燕</v>
      </c>
      <c r="B54" s="1" t="str">
        <f>"5860406012023"</f>
        <v>5860406012023</v>
      </c>
      <c r="C54" s="1" t="str">
        <f t="shared" si="2"/>
        <v>600048</v>
      </c>
      <c r="D54" s="2">
        <v>82.33</v>
      </c>
    </row>
    <row r="55" spans="1:4" s="3" customFormat="1" ht="22.5" customHeight="1">
      <c r="A55" s="1" t="str">
        <f>"徐玉玲"</f>
        <v>徐玉玲</v>
      </c>
      <c r="B55" s="1" t="str">
        <f>"5860406012113"</f>
        <v>5860406012113</v>
      </c>
      <c r="C55" s="1" t="str">
        <f t="shared" si="2"/>
        <v>600048</v>
      </c>
      <c r="D55" s="2">
        <v>79</v>
      </c>
    </row>
    <row r="56" spans="1:4" s="3" customFormat="1" ht="22.5" customHeight="1">
      <c r="A56" s="1" t="str">
        <f>"夏世勤"</f>
        <v>夏世勤</v>
      </c>
      <c r="B56" s="1" t="str">
        <f>"5860406012024"</f>
        <v>5860406012024</v>
      </c>
      <c r="C56" s="1" t="str">
        <f t="shared" si="2"/>
        <v>600048</v>
      </c>
      <c r="D56" s="2">
        <v>77.66</v>
      </c>
    </row>
    <row r="57" spans="1:4" s="3" customFormat="1" ht="22.5" customHeight="1">
      <c r="A57" s="1" t="str">
        <f>"邱仁燕"</f>
        <v>邱仁燕</v>
      </c>
      <c r="B57" s="1" t="str">
        <f>"5860406012127"</f>
        <v>5860406012127</v>
      </c>
      <c r="C57" s="1" t="str">
        <f t="shared" si="2"/>
        <v>600048</v>
      </c>
      <c r="D57" s="2">
        <v>84.33</v>
      </c>
    </row>
    <row r="58" spans="1:4" s="3" customFormat="1" ht="22.5" customHeight="1">
      <c r="A58" s="1" t="str">
        <f>"孔辉雪"</f>
        <v>孔辉雪</v>
      </c>
      <c r="B58" s="1" t="str">
        <f>"5860406012108"</f>
        <v>5860406012108</v>
      </c>
      <c r="C58" s="1" t="str">
        <f t="shared" si="2"/>
        <v>600048</v>
      </c>
      <c r="D58" s="2">
        <v>79</v>
      </c>
    </row>
    <row r="59" spans="1:4" s="3" customFormat="1" ht="22.5" customHeight="1">
      <c r="A59" s="1" t="str">
        <f>"李秋静"</f>
        <v>李秋静</v>
      </c>
      <c r="B59" s="1" t="str">
        <f>"5860406012204"</f>
        <v>5860406012204</v>
      </c>
      <c r="C59" s="1" t="str">
        <f t="shared" si="2"/>
        <v>600048</v>
      </c>
      <c r="D59" s="2">
        <v>78</v>
      </c>
    </row>
    <row r="60" spans="1:4" s="3" customFormat="1" ht="22.5" customHeight="1">
      <c r="A60" s="1" t="str">
        <f>"魏菥"</f>
        <v>魏菥</v>
      </c>
      <c r="B60" s="1" t="str">
        <f>"5860406012105"</f>
        <v>5860406012105</v>
      </c>
      <c r="C60" s="1" t="str">
        <f t="shared" si="2"/>
        <v>600048</v>
      </c>
      <c r="D60" s="2">
        <v>79.33</v>
      </c>
    </row>
    <row r="61" spans="1:4" s="3" customFormat="1" ht="22.5" customHeight="1">
      <c r="A61" s="1" t="str">
        <f>"文欣"</f>
        <v>文欣</v>
      </c>
      <c r="B61" s="1" t="str">
        <f>"5860406012115"</f>
        <v>5860406012115</v>
      </c>
      <c r="C61" s="1" t="str">
        <f t="shared" si="2"/>
        <v>600048</v>
      </c>
      <c r="D61" s="2">
        <v>80</v>
      </c>
    </row>
    <row r="62" spans="1:4" s="3" customFormat="1" ht="22.5" customHeight="1">
      <c r="A62" s="1" t="str">
        <f>"王雪梅"</f>
        <v>王雪梅</v>
      </c>
      <c r="B62" s="1" t="str">
        <f>"5860406012030"</f>
        <v>5860406012030</v>
      </c>
      <c r="C62" s="1" t="str">
        <f t="shared" si="2"/>
        <v>600048</v>
      </c>
      <c r="D62" s="2">
        <v>77.66</v>
      </c>
    </row>
    <row r="63" spans="1:4" s="3" customFormat="1" ht="22.5" customHeight="1">
      <c r="A63" s="1" t="str">
        <f>"周飞艳"</f>
        <v>周飞艳</v>
      </c>
      <c r="B63" s="1" t="str">
        <f>"5860406012219"</f>
        <v>5860406012219</v>
      </c>
      <c r="C63" s="1" t="str">
        <f aca="true" t="shared" si="3" ref="C63:C85">"600049"</f>
        <v>600049</v>
      </c>
      <c r="D63" s="2">
        <v>82</v>
      </c>
    </row>
    <row r="64" spans="1:4" s="3" customFormat="1" ht="22.5" customHeight="1">
      <c r="A64" s="1" t="str">
        <f>"董敏先"</f>
        <v>董敏先</v>
      </c>
      <c r="B64" s="1" t="str">
        <f>"5860406012226"</f>
        <v>5860406012226</v>
      </c>
      <c r="C64" s="1" t="str">
        <f t="shared" si="3"/>
        <v>600049</v>
      </c>
      <c r="D64" s="2">
        <v>69.33</v>
      </c>
    </row>
    <row r="65" spans="1:4" s="3" customFormat="1" ht="22.5" customHeight="1">
      <c r="A65" s="1" t="str">
        <f>"潘雅莉"</f>
        <v>潘雅莉</v>
      </c>
      <c r="B65" s="1" t="str">
        <f>"5860406012223"</f>
        <v>5860406012223</v>
      </c>
      <c r="C65" s="1" t="str">
        <f t="shared" si="3"/>
        <v>600049</v>
      </c>
      <c r="D65" s="2">
        <v>82</v>
      </c>
    </row>
    <row r="66" spans="1:4" s="3" customFormat="1" ht="22.5" customHeight="1">
      <c r="A66" s="1" t="str">
        <f>"王待越"</f>
        <v>王待越</v>
      </c>
      <c r="B66" s="1" t="str">
        <f>"5860406012215"</f>
        <v>5860406012215</v>
      </c>
      <c r="C66" s="1" t="str">
        <f t="shared" si="3"/>
        <v>600049</v>
      </c>
      <c r="D66" s="2">
        <v>83.33</v>
      </c>
    </row>
    <row r="67" spans="1:4" s="3" customFormat="1" ht="22.5" customHeight="1">
      <c r="A67" s="1" t="str">
        <f>"张林梅"</f>
        <v>张林梅</v>
      </c>
      <c r="B67" s="1" t="str">
        <f>"5860406012221"</f>
        <v>5860406012221</v>
      </c>
      <c r="C67" s="1" t="str">
        <f t="shared" si="3"/>
        <v>600049</v>
      </c>
      <c r="D67" s="2">
        <v>85.33</v>
      </c>
    </row>
    <row r="68" spans="1:4" s="3" customFormat="1" ht="22.5" customHeight="1">
      <c r="A68" s="1" t="str">
        <f>"秦越"</f>
        <v>秦越</v>
      </c>
      <c r="B68" s="1" t="str">
        <f>"5860406012303"</f>
        <v>5860406012303</v>
      </c>
      <c r="C68" s="1" t="str">
        <f t="shared" si="3"/>
        <v>600049</v>
      </c>
      <c r="D68" s="2">
        <v>80</v>
      </c>
    </row>
    <row r="69" spans="1:4" s="3" customFormat="1" ht="22.5" customHeight="1">
      <c r="A69" s="1" t="str">
        <f>"陈尚杨"</f>
        <v>陈尚杨</v>
      </c>
      <c r="B69" s="1" t="str">
        <f>"5860406012304"</f>
        <v>5860406012304</v>
      </c>
      <c r="C69" s="1" t="str">
        <f t="shared" si="3"/>
        <v>600049</v>
      </c>
      <c r="D69" s="2">
        <v>82.67</v>
      </c>
    </row>
    <row r="70" spans="1:4" s="3" customFormat="1" ht="22.5" customHeight="1">
      <c r="A70" s="1" t="str">
        <f>"熊威"</f>
        <v>熊威</v>
      </c>
      <c r="B70" s="1" t="str">
        <f>"5860406012206"</f>
        <v>5860406012206</v>
      </c>
      <c r="C70" s="1" t="str">
        <f t="shared" si="3"/>
        <v>600049</v>
      </c>
      <c r="D70" s="2">
        <v>65</v>
      </c>
    </row>
    <row r="71" spans="1:4" s="3" customFormat="1" ht="22.5" customHeight="1">
      <c r="A71" s="1" t="str">
        <f>"张梦云"</f>
        <v>张梦云</v>
      </c>
      <c r="B71" s="1" t="str">
        <f>"5860406012211"</f>
        <v>5860406012211</v>
      </c>
      <c r="C71" s="1" t="str">
        <f t="shared" si="3"/>
        <v>600049</v>
      </c>
      <c r="D71" s="2">
        <v>71.67</v>
      </c>
    </row>
    <row r="72" spans="1:4" s="3" customFormat="1" ht="22.5" customHeight="1">
      <c r="A72" s="1" t="str">
        <f>"全安平"</f>
        <v>全安平</v>
      </c>
      <c r="B72" s="1" t="str">
        <f>"5860406012302"</f>
        <v>5860406012302</v>
      </c>
      <c r="C72" s="1" t="str">
        <f t="shared" si="3"/>
        <v>600049</v>
      </c>
      <c r="D72" s="2">
        <v>78.67</v>
      </c>
    </row>
    <row r="73" spans="1:4" s="3" customFormat="1" ht="22.5" customHeight="1">
      <c r="A73" s="1" t="str">
        <f>"张娟"</f>
        <v>张娟</v>
      </c>
      <c r="B73" s="1" t="str">
        <f>"5860406012307"</f>
        <v>5860406012307</v>
      </c>
      <c r="C73" s="1" t="str">
        <f t="shared" si="3"/>
        <v>600049</v>
      </c>
      <c r="D73" s="2">
        <v>82</v>
      </c>
    </row>
    <row r="74" spans="1:4" s="3" customFormat="1" ht="22.5" customHeight="1">
      <c r="A74" s="1" t="str">
        <f>"陈燕羽"</f>
        <v>陈燕羽</v>
      </c>
      <c r="B74" s="1" t="str">
        <f>"5860406012207"</f>
        <v>5860406012207</v>
      </c>
      <c r="C74" s="1" t="str">
        <f t="shared" si="3"/>
        <v>600049</v>
      </c>
      <c r="D74" s="2">
        <v>79.67</v>
      </c>
    </row>
    <row r="75" spans="1:4" s="3" customFormat="1" ht="22.5" customHeight="1">
      <c r="A75" s="1" t="str">
        <f>"闫丰"</f>
        <v>闫丰</v>
      </c>
      <c r="B75" s="1" t="str">
        <f>"5860406012214"</f>
        <v>5860406012214</v>
      </c>
      <c r="C75" s="1" t="str">
        <f t="shared" si="3"/>
        <v>600049</v>
      </c>
      <c r="D75" s="2" t="s">
        <v>0</v>
      </c>
    </row>
    <row r="76" spans="1:4" s="3" customFormat="1" ht="22.5" customHeight="1">
      <c r="A76" s="1" t="str">
        <f>"肖开"</f>
        <v>肖开</v>
      </c>
      <c r="B76" s="1" t="str">
        <f>"5860406012220"</f>
        <v>5860406012220</v>
      </c>
      <c r="C76" s="1" t="str">
        <f t="shared" si="3"/>
        <v>600049</v>
      </c>
      <c r="D76" s="2">
        <v>74.33</v>
      </c>
    </row>
    <row r="77" spans="1:4" s="3" customFormat="1" ht="22.5" customHeight="1">
      <c r="A77" s="1" t="str">
        <f>"孙小兰"</f>
        <v>孙小兰</v>
      </c>
      <c r="B77" s="1" t="str">
        <f>"5860406012227"</f>
        <v>5860406012227</v>
      </c>
      <c r="C77" s="1" t="str">
        <f t="shared" si="3"/>
        <v>600049</v>
      </c>
      <c r="D77" s="2">
        <v>65</v>
      </c>
    </row>
    <row r="78" spans="1:4" s="3" customFormat="1" ht="22.5" customHeight="1">
      <c r="A78" s="1" t="str">
        <f>"温秀亮"</f>
        <v>温秀亮</v>
      </c>
      <c r="B78" s="1" t="str">
        <f>"5860406012225"</f>
        <v>5860406012225</v>
      </c>
      <c r="C78" s="1" t="str">
        <f t="shared" si="3"/>
        <v>600049</v>
      </c>
      <c r="D78" s="2">
        <v>84.33</v>
      </c>
    </row>
    <row r="79" spans="1:4" s="3" customFormat="1" ht="22.5" customHeight="1">
      <c r="A79" s="1" t="str">
        <f>"高茜"</f>
        <v>高茜</v>
      </c>
      <c r="B79" s="1" t="str">
        <f>"5860406012310"</f>
        <v>5860406012310</v>
      </c>
      <c r="C79" s="1" t="str">
        <f t="shared" si="3"/>
        <v>600049</v>
      </c>
      <c r="D79" s="2" t="s">
        <v>0</v>
      </c>
    </row>
    <row r="80" spans="1:4" s="3" customFormat="1" ht="22.5" customHeight="1">
      <c r="A80" s="1" t="str">
        <f>"王艺洁"</f>
        <v>王艺洁</v>
      </c>
      <c r="B80" s="1" t="str">
        <f>"5860406012222"</f>
        <v>5860406012222</v>
      </c>
      <c r="C80" s="1" t="str">
        <f t="shared" si="3"/>
        <v>600049</v>
      </c>
      <c r="D80" s="2">
        <v>72.67</v>
      </c>
    </row>
    <row r="81" spans="1:4" s="3" customFormat="1" ht="22.5" customHeight="1">
      <c r="A81" s="1" t="str">
        <f>"廖欢欢"</f>
        <v>廖欢欢</v>
      </c>
      <c r="B81" s="1" t="str">
        <f>"5860406012230"</f>
        <v>5860406012230</v>
      </c>
      <c r="C81" s="1" t="str">
        <f t="shared" si="3"/>
        <v>600049</v>
      </c>
      <c r="D81" s="2">
        <v>73.33</v>
      </c>
    </row>
    <row r="82" spans="1:4" s="3" customFormat="1" ht="22.5" customHeight="1">
      <c r="A82" s="1" t="str">
        <f>"唐华蔚"</f>
        <v>唐华蔚</v>
      </c>
      <c r="B82" s="1" t="str">
        <f>"5860406012229"</f>
        <v>5860406012229</v>
      </c>
      <c r="C82" s="1" t="str">
        <f t="shared" si="3"/>
        <v>600049</v>
      </c>
      <c r="D82" s="2">
        <v>81.67</v>
      </c>
    </row>
    <row r="83" spans="1:4" s="3" customFormat="1" ht="22.5" customHeight="1">
      <c r="A83" s="1" t="str">
        <f>"李朝霞"</f>
        <v>李朝霞</v>
      </c>
      <c r="B83" s="1" t="str">
        <f>"5860406012312"</f>
        <v>5860406012312</v>
      </c>
      <c r="C83" s="1" t="str">
        <f t="shared" si="3"/>
        <v>600049</v>
      </c>
      <c r="D83" s="2">
        <v>80</v>
      </c>
    </row>
    <row r="84" spans="1:4" s="3" customFormat="1" ht="22.5" customHeight="1">
      <c r="A84" s="1" t="str">
        <f>"施小平"</f>
        <v>施小平</v>
      </c>
      <c r="B84" s="1" t="str">
        <f>"5860406012213"</f>
        <v>5860406012213</v>
      </c>
      <c r="C84" s="1" t="str">
        <f t="shared" si="3"/>
        <v>600049</v>
      </c>
      <c r="D84" s="2">
        <v>84.67</v>
      </c>
    </row>
    <row r="85" spans="1:4" s="3" customFormat="1" ht="22.5" customHeight="1">
      <c r="A85" s="1" t="str">
        <f>"杨静"</f>
        <v>杨静</v>
      </c>
      <c r="B85" s="1" t="str">
        <f>"5860406012224"</f>
        <v>5860406012224</v>
      </c>
      <c r="C85" s="1" t="str">
        <f t="shared" si="3"/>
        <v>600049</v>
      </c>
      <c r="D85" s="2">
        <v>78.33</v>
      </c>
    </row>
    <row r="86" spans="1:4" s="3" customFormat="1" ht="22.5" customHeight="1">
      <c r="A86" s="1" t="str">
        <f>"张娟"</f>
        <v>张娟</v>
      </c>
      <c r="B86" s="1" t="str">
        <f>"5860406010811"</f>
        <v>5860406010811</v>
      </c>
      <c r="C86" s="1" t="str">
        <f aca="true" t="shared" si="4" ref="C86:C106">"600004"</f>
        <v>600004</v>
      </c>
      <c r="D86" s="2">
        <v>80.33</v>
      </c>
    </row>
    <row r="87" spans="1:4" s="3" customFormat="1" ht="22.5" customHeight="1">
      <c r="A87" s="1" t="str">
        <f>"孙亚玲"</f>
        <v>孙亚玲</v>
      </c>
      <c r="B87" s="1" t="str">
        <f>"5860406010913"</f>
        <v>5860406010913</v>
      </c>
      <c r="C87" s="1" t="str">
        <f t="shared" si="4"/>
        <v>600004</v>
      </c>
      <c r="D87" s="2">
        <v>83.67</v>
      </c>
    </row>
    <row r="88" spans="1:4" s="3" customFormat="1" ht="22.5" customHeight="1">
      <c r="A88" s="1" t="str">
        <f>"雷迎梅"</f>
        <v>雷迎梅</v>
      </c>
      <c r="B88" s="1" t="str">
        <f>"5860406010719"</f>
        <v>5860406010719</v>
      </c>
      <c r="C88" s="1" t="str">
        <f t="shared" si="4"/>
        <v>600004</v>
      </c>
      <c r="D88" s="2">
        <v>80</v>
      </c>
    </row>
    <row r="89" spans="1:4" s="3" customFormat="1" ht="22.5" customHeight="1">
      <c r="A89" s="1" t="str">
        <f>"刘辉"</f>
        <v>刘辉</v>
      </c>
      <c r="B89" s="1" t="str">
        <f>"5860406010628"</f>
        <v>5860406010628</v>
      </c>
      <c r="C89" s="1" t="str">
        <f t="shared" si="4"/>
        <v>600004</v>
      </c>
      <c r="D89" s="2">
        <v>87</v>
      </c>
    </row>
    <row r="90" spans="1:4" s="3" customFormat="1" ht="22.5" customHeight="1">
      <c r="A90" s="1" t="str">
        <f>"冯妍琪"</f>
        <v>冯妍琪</v>
      </c>
      <c r="B90" s="1" t="str">
        <f>"5860406010708"</f>
        <v>5860406010708</v>
      </c>
      <c r="C90" s="1" t="str">
        <f t="shared" si="4"/>
        <v>600004</v>
      </c>
      <c r="D90" s="2">
        <v>83</v>
      </c>
    </row>
    <row r="91" spans="1:4" s="3" customFormat="1" ht="22.5" customHeight="1">
      <c r="A91" s="1" t="str">
        <f>"马雪"</f>
        <v>马雪</v>
      </c>
      <c r="B91" s="1" t="str">
        <f>"5860406010812"</f>
        <v>5860406010812</v>
      </c>
      <c r="C91" s="1" t="str">
        <f t="shared" si="4"/>
        <v>600004</v>
      </c>
      <c r="D91" s="2">
        <v>79</v>
      </c>
    </row>
    <row r="92" spans="1:4" s="3" customFormat="1" ht="22.5" customHeight="1">
      <c r="A92" s="1" t="str">
        <f>"李玲兰"</f>
        <v>李玲兰</v>
      </c>
      <c r="B92" s="1" t="str">
        <f>"5860406010714"</f>
        <v>5860406010714</v>
      </c>
      <c r="C92" s="1" t="str">
        <f t="shared" si="4"/>
        <v>600004</v>
      </c>
      <c r="D92" s="2">
        <v>79</v>
      </c>
    </row>
    <row r="93" spans="1:4" s="3" customFormat="1" ht="22.5" customHeight="1">
      <c r="A93" s="1" t="str">
        <f>"谢香姣"</f>
        <v>谢香姣</v>
      </c>
      <c r="B93" s="1" t="str">
        <f>"5860406010808"</f>
        <v>5860406010808</v>
      </c>
      <c r="C93" s="1" t="str">
        <f t="shared" si="4"/>
        <v>600004</v>
      </c>
      <c r="D93" s="2" t="s">
        <v>1</v>
      </c>
    </row>
    <row r="94" spans="1:4" s="3" customFormat="1" ht="22.5" customHeight="1">
      <c r="A94" s="1" t="str">
        <f>"李欢欢"</f>
        <v>李欢欢</v>
      </c>
      <c r="B94" s="1" t="str">
        <f>"5860406010911"</f>
        <v>5860406010911</v>
      </c>
      <c r="C94" s="1" t="str">
        <f t="shared" si="4"/>
        <v>600004</v>
      </c>
      <c r="D94" s="2">
        <v>75.33</v>
      </c>
    </row>
    <row r="95" spans="1:4" s="3" customFormat="1" ht="22.5" customHeight="1">
      <c r="A95" s="1" t="str">
        <f>"张丽"</f>
        <v>张丽</v>
      </c>
      <c r="B95" s="1" t="str">
        <f>"5860406010830"</f>
        <v>5860406010830</v>
      </c>
      <c r="C95" s="1" t="str">
        <f t="shared" si="4"/>
        <v>600004</v>
      </c>
      <c r="D95" s="2">
        <v>82</v>
      </c>
    </row>
    <row r="96" spans="1:4" s="3" customFormat="1" ht="22.5" customHeight="1">
      <c r="A96" s="1" t="str">
        <f>"阳东铮"</f>
        <v>阳东铮</v>
      </c>
      <c r="B96" s="1" t="str">
        <f>"5860406010919"</f>
        <v>5860406010919</v>
      </c>
      <c r="C96" s="1" t="str">
        <f t="shared" si="4"/>
        <v>600004</v>
      </c>
      <c r="D96" s="2">
        <v>84.67</v>
      </c>
    </row>
    <row r="97" spans="1:4" s="3" customFormat="1" ht="22.5" customHeight="1">
      <c r="A97" s="1" t="str">
        <f>"王洪"</f>
        <v>王洪</v>
      </c>
      <c r="B97" s="1" t="str">
        <f>"5860406010926"</f>
        <v>5860406010926</v>
      </c>
      <c r="C97" s="1" t="str">
        <f t="shared" si="4"/>
        <v>600004</v>
      </c>
      <c r="D97" s="2">
        <v>81.67</v>
      </c>
    </row>
    <row r="98" spans="1:4" s="3" customFormat="1" ht="22.5" customHeight="1">
      <c r="A98" s="1" t="str">
        <f>"柏春梅"</f>
        <v>柏春梅</v>
      </c>
      <c r="B98" s="1" t="str">
        <f>"5860406010706"</f>
        <v>5860406010706</v>
      </c>
      <c r="C98" s="1" t="str">
        <f t="shared" si="4"/>
        <v>600004</v>
      </c>
      <c r="D98" s="2">
        <v>84.33</v>
      </c>
    </row>
    <row r="99" spans="1:4" s="3" customFormat="1" ht="22.5" customHeight="1">
      <c r="A99" s="1" t="str">
        <f>"张艳琼"</f>
        <v>张艳琼</v>
      </c>
      <c r="B99" s="1" t="str">
        <f>"5860406010709"</f>
        <v>5860406010709</v>
      </c>
      <c r="C99" s="1" t="str">
        <f t="shared" si="4"/>
        <v>600004</v>
      </c>
      <c r="D99" s="2">
        <v>81.33</v>
      </c>
    </row>
    <row r="100" spans="1:4" s="3" customFormat="1" ht="22.5" customHeight="1">
      <c r="A100" s="1" t="str">
        <f>"张春丽"</f>
        <v>张春丽</v>
      </c>
      <c r="B100" s="1" t="str">
        <f>"5860406010725"</f>
        <v>5860406010725</v>
      </c>
      <c r="C100" s="1" t="str">
        <f t="shared" si="4"/>
        <v>600004</v>
      </c>
      <c r="D100" s="2">
        <v>81.33</v>
      </c>
    </row>
    <row r="101" spans="1:4" s="3" customFormat="1" ht="22.5" customHeight="1">
      <c r="A101" s="1" t="str">
        <f>"罗姝"</f>
        <v>罗姝</v>
      </c>
      <c r="B101" s="1" t="str">
        <f>"5860406010824"</f>
        <v>5860406010824</v>
      </c>
      <c r="C101" s="1" t="str">
        <f t="shared" si="4"/>
        <v>600004</v>
      </c>
      <c r="D101" s="2">
        <v>73.67</v>
      </c>
    </row>
    <row r="102" spans="1:4" s="3" customFormat="1" ht="22.5" customHeight="1">
      <c r="A102" s="1" t="str">
        <f>"刘倩"</f>
        <v>刘倩</v>
      </c>
      <c r="B102" s="1" t="str">
        <f>"5860406010904"</f>
        <v>5860406010904</v>
      </c>
      <c r="C102" s="1" t="str">
        <f t="shared" si="4"/>
        <v>600004</v>
      </c>
      <c r="D102" s="2">
        <v>83.33</v>
      </c>
    </row>
    <row r="103" spans="1:4" s="3" customFormat="1" ht="22.5" customHeight="1">
      <c r="A103" s="1" t="str">
        <f>"文明婕"</f>
        <v>文明婕</v>
      </c>
      <c r="B103" s="1" t="str">
        <f>"5860406010705"</f>
        <v>5860406010705</v>
      </c>
      <c r="C103" s="1" t="str">
        <f t="shared" si="4"/>
        <v>600004</v>
      </c>
      <c r="D103" s="2">
        <v>83</v>
      </c>
    </row>
    <row r="104" spans="1:4" s="3" customFormat="1" ht="22.5" customHeight="1">
      <c r="A104" s="1" t="str">
        <f>"杨雨琳"</f>
        <v>杨雨琳</v>
      </c>
      <c r="B104" s="1" t="str">
        <f>"5860406010818"</f>
        <v>5860406010818</v>
      </c>
      <c r="C104" s="1" t="str">
        <f t="shared" si="4"/>
        <v>600004</v>
      </c>
      <c r="D104" s="2">
        <v>85.33</v>
      </c>
    </row>
    <row r="105" spans="1:4" s="3" customFormat="1" ht="22.5" customHeight="1">
      <c r="A105" s="1" t="str">
        <f>"杨欢"</f>
        <v>杨欢</v>
      </c>
      <c r="B105" s="1" t="str">
        <f>"5860406010825"</f>
        <v>5860406010825</v>
      </c>
      <c r="C105" s="1" t="str">
        <f t="shared" si="4"/>
        <v>600004</v>
      </c>
      <c r="D105" s="2">
        <v>77.67</v>
      </c>
    </row>
    <row r="106" spans="1:4" s="3" customFormat="1" ht="22.5" customHeight="1">
      <c r="A106" s="1" t="str">
        <f>"徐敏"</f>
        <v>徐敏</v>
      </c>
      <c r="B106" s="1" t="str">
        <f>"5860406011004"</f>
        <v>5860406011004</v>
      </c>
      <c r="C106" s="1" t="str">
        <f t="shared" si="4"/>
        <v>600004</v>
      </c>
      <c r="D106" s="2" t="s">
        <v>0</v>
      </c>
    </row>
    <row r="107" spans="1:4" s="3" customFormat="1" ht="22.5" customHeight="1">
      <c r="A107" s="1" t="str">
        <f>"魏立立"</f>
        <v>魏立立</v>
      </c>
      <c r="B107" s="1" t="str">
        <f>"5860406011805"</f>
        <v>5860406011805</v>
      </c>
      <c r="C107" s="1" t="str">
        <f aca="true" t="shared" si="5" ref="C107:C124">"600023"</f>
        <v>600023</v>
      </c>
      <c r="D107" s="2">
        <v>73</v>
      </c>
    </row>
    <row r="108" spans="1:4" s="3" customFormat="1" ht="22.5" customHeight="1">
      <c r="A108" s="1" t="str">
        <f>"谭家琴"</f>
        <v>谭家琴</v>
      </c>
      <c r="B108" s="1" t="str">
        <f>"5860406011720"</f>
        <v>5860406011720</v>
      </c>
      <c r="C108" s="1" t="str">
        <f t="shared" si="5"/>
        <v>600023</v>
      </c>
      <c r="D108" s="2">
        <v>76.67</v>
      </c>
    </row>
    <row r="109" spans="1:4" s="3" customFormat="1" ht="22.5" customHeight="1">
      <c r="A109" s="1" t="str">
        <f>"潘莎"</f>
        <v>潘莎</v>
      </c>
      <c r="B109" s="1" t="str">
        <f>"5860406011814"</f>
        <v>5860406011814</v>
      </c>
      <c r="C109" s="1" t="str">
        <f t="shared" si="5"/>
        <v>600023</v>
      </c>
      <c r="D109" s="2">
        <v>79.33</v>
      </c>
    </row>
    <row r="110" spans="1:4" s="3" customFormat="1" ht="22.5" customHeight="1">
      <c r="A110" s="1" t="str">
        <f>"邓鸿静"</f>
        <v>邓鸿静</v>
      </c>
      <c r="B110" s="1" t="str">
        <f>"5860406011716"</f>
        <v>5860406011716</v>
      </c>
      <c r="C110" s="1" t="str">
        <f t="shared" si="5"/>
        <v>600023</v>
      </c>
      <c r="D110" s="2">
        <v>82.33</v>
      </c>
    </row>
    <row r="111" spans="1:4" s="3" customFormat="1" ht="22.5" customHeight="1">
      <c r="A111" s="1" t="str">
        <f>"陈琳"</f>
        <v>陈琳</v>
      </c>
      <c r="B111" s="1" t="str">
        <f>"5860406011719"</f>
        <v>5860406011719</v>
      </c>
      <c r="C111" s="1" t="str">
        <f t="shared" si="5"/>
        <v>600023</v>
      </c>
      <c r="D111" s="2">
        <v>85</v>
      </c>
    </row>
    <row r="112" spans="1:4" s="3" customFormat="1" ht="22.5" customHeight="1">
      <c r="A112" s="1" t="str">
        <f>"龙海霞"</f>
        <v>龙海霞</v>
      </c>
      <c r="B112" s="1" t="str">
        <f>"5860406011728"</f>
        <v>5860406011728</v>
      </c>
      <c r="C112" s="1" t="str">
        <f t="shared" si="5"/>
        <v>600023</v>
      </c>
      <c r="D112" s="2">
        <v>72.33</v>
      </c>
    </row>
    <row r="113" spans="1:4" s="3" customFormat="1" ht="22.5" customHeight="1">
      <c r="A113" s="1" t="str">
        <f>"陈秀玲"</f>
        <v>陈秀玲</v>
      </c>
      <c r="B113" s="1" t="str">
        <f>"5860406011724"</f>
        <v>5860406011724</v>
      </c>
      <c r="C113" s="1" t="str">
        <f t="shared" si="5"/>
        <v>600023</v>
      </c>
      <c r="D113" s="2">
        <v>75.33</v>
      </c>
    </row>
    <row r="114" spans="1:4" s="3" customFormat="1" ht="22.5" customHeight="1">
      <c r="A114" s="1" t="str">
        <f>"黄旭"</f>
        <v>黄旭</v>
      </c>
      <c r="B114" s="1" t="str">
        <f>"5860406011726"</f>
        <v>5860406011726</v>
      </c>
      <c r="C114" s="1" t="str">
        <f t="shared" si="5"/>
        <v>600023</v>
      </c>
      <c r="D114" s="2">
        <v>74.67</v>
      </c>
    </row>
    <row r="115" spans="1:4" s="3" customFormat="1" ht="22.5" customHeight="1">
      <c r="A115" s="1" t="str">
        <f>"冯永静"</f>
        <v>冯永静</v>
      </c>
      <c r="B115" s="1" t="str">
        <f>"5860406011713"</f>
        <v>5860406011713</v>
      </c>
      <c r="C115" s="1" t="str">
        <f t="shared" si="5"/>
        <v>600023</v>
      </c>
      <c r="D115" s="2">
        <v>80</v>
      </c>
    </row>
    <row r="116" spans="1:4" s="3" customFormat="1" ht="22.5" customHeight="1">
      <c r="A116" s="1" t="str">
        <f>"伍月"</f>
        <v>伍月</v>
      </c>
      <c r="B116" s="1" t="str">
        <f>"5860406011715"</f>
        <v>5860406011715</v>
      </c>
      <c r="C116" s="1" t="str">
        <f t="shared" si="5"/>
        <v>600023</v>
      </c>
      <c r="D116" s="2">
        <v>75.33</v>
      </c>
    </row>
    <row r="117" spans="1:4" s="3" customFormat="1" ht="22.5" customHeight="1">
      <c r="A117" s="1" t="str">
        <f>"梁晶"</f>
        <v>梁晶</v>
      </c>
      <c r="B117" s="1" t="str">
        <f>"5860406011815"</f>
        <v>5860406011815</v>
      </c>
      <c r="C117" s="1" t="str">
        <f t="shared" si="5"/>
        <v>600023</v>
      </c>
      <c r="D117" s="2">
        <v>70.33</v>
      </c>
    </row>
    <row r="118" spans="1:4" s="3" customFormat="1" ht="22.5" customHeight="1">
      <c r="A118" s="1" t="str">
        <f>"李娇"</f>
        <v>李娇</v>
      </c>
      <c r="B118" s="1" t="str">
        <f>"5860406011723"</f>
        <v>5860406011723</v>
      </c>
      <c r="C118" s="1" t="str">
        <f t="shared" si="5"/>
        <v>600023</v>
      </c>
      <c r="D118" s="2">
        <v>78.67</v>
      </c>
    </row>
    <row r="119" spans="1:4" s="3" customFormat="1" ht="22.5" customHeight="1">
      <c r="A119" s="1" t="str">
        <f>"唐雪梅"</f>
        <v>唐雪梅</v>
      </c>
      <c r="B119" s="1" t="str">
        <f>"5860406011818"</f>
        <v>5860406011818</v>
      </c>
      <c r="C119" s="1" t="str">
        <f t="shared" si="5"/>
        <v>600023</v>
      </c>
      <c r="D119" s="2">
        <v>65.33</v>
      </c>
    </row>
    <row r="120" spans="1:4" s="3" customFormat="1" ht="22.5" customHeight="1">
      <c r="A120" s="1" t="str">
        <f>"鲜美"</f>
        <v>鲜美</v>
      </c>
      <c r="B120" s="1" t="str">
        <f>"5860406011712"</f>
        <v>5860406011712</v>
      </c>
      <c r="C120" s="1" t="str">
        <f t="shared" si="5"/>
        <v>600023</v>
      </c>
      <c r="D120" s="2">
        <v>74.33</v>
      </c>
    </row>
    <row r="121" spans="1:4" s="3" customFormat="1" ht="22.5" customHeight="1">
      <c r="A121" s="1" t="str">
        <f>"廖红娅"</f>
        <v>廖红娅</v>
      </c>
      <c r="B121" s="1" t="str">
        <f>"5860406011722"</f>
        <v>5860406011722</v>
      </c>
      <c r="C121" s="1" t="str">
        <f t="shared" si="5"/>
        <v>600023</v>
      </c>
      <c r="D121" s="2">
        <v>78.33</v>
      </c>
    </row>
    <row r="122" spans="1:4" s="3" customFormat="1" ht="22.5" customHeight="1">
      <c r="A122" s="1" t="str">
        <f>"陈江梅"</f>
        <v>陈江梅</v>
      </c>
      <c r="B122" s="1" t="str">
        <f>"5860406011729"</f>
        <v>5860406011729</v>
      </c>
      <c r="C122" s="1" t="str">
        <f t="shared" si="5"/>
        <v>600023</v>
      </c>
      <c r="D122" s="2">
        <v>73</v>
      </c>
    </row>
    <row r="123" spans="1:4" s="3" customFormat="1" ht="22.5" customHeight="1">
      <c r="A123" s="1" t="str">
        <f>"李庆"</f>
        <v>李庆</v>
      </c>
      <c r="B123" s="1" t="str">
        <f>"5860406011816"</f>
        <v>5860406011816</v>
      </c>
      <c r="C123" s="1" t="str">
        <f t="shared" si="5"/>
        <v>600023</v>
      </c>
      <c r="D123" s="2">
        <v>67.67</v>
      </c>
    </row>
    <row r="124" spans="1:4" s="3" customFormat="1" ht="22.5" customHeight="1">
      <c r="A124" s="1" t="str">
        <f>"朱琎"</f>
        <v>朱琎</v>
      </c>
      <c r="B124" s="1" t="str">
        <f>"5860406011711"</f>
        <v>5860406011711</v>
      </c>
      <c r="C124" s="1" t="str">
        <f t="shared" si="5"/>
        <v>600023</v>
      </c>
      <c r="D124" s="2">
        <v>74</v>
      </c>
    </row>
    <row r="125" spans="1:4" s="3" customFormat="1" ht="22.5" customHeight="1">
      <c r="A125" s="1" t="str">
        <f>"熊叶兰"</f>
        <v>熊叶兰</v>
      </c>
      <c r="B125" s="1" t="str">
        <f>"5860406011828"</f>
        <v>5860406011828</v>
      </c>
      <c r="C125" s="1" t="str">
        <f>"600030"</f>
        <v>600030</v>
      </c>
      <c r="D125" s="2">
        <v>68.33</v>
      </c>
    </row>
    <row r="126" spans="1:4" s="3" customFormat="1" ht="22.5" customHeight="1">
      <c r="A126" s="1" t="str">
        <f>"苟学梅"</f>
        <v>苟学梅</v>
      </c>
      <c r="B126" s="1" t="str">
        <f>"5860406011829"</f>
        <v>5860406011829</v>
      </c>
      <c r="C126" s="1" t="str">
        <f>"600030"</f>
        <v>600030</v>
      </c>
      <c r="D126" s="2">
        <v>79.33</v>
      </c>
    </row>
    <row r="127" spans="1:4" s="3" customFormat="1" ht="22.5" customHeight="1">
      <c r="A127" s="1" t="str">
        <f>"陈娟"</f>
        <v>陈娟</v>
      </c>
      <c r="B127" s="1" t="str">
        <f>"5860406012921"</f>
        <v>5860406012921</v>
      </c>
      <c r="C127" s="1" t="str">
        <f aca="true" t="shared" si="6" ref="C127:C150">"600060"</f>
        <v>600060</v>
      </c>
      <c r="D127" s="2">
        <v>81</v>
      </c>
    </row>
    <row r="128" spans="1:4" s="3" customFormat="1" ht="22.5" customHeight="1">
      <c r="A128" s="1" t="str">
        <f>"杨文娟"</f>
        <v>杨文娟</v>
      </c>
      <c r="B128" s="1" t="str">
        <f>"5860406012819"</f>
        <v>5860406012819</v>
      </c>
      <c r="C128" s="1" t="str">
        <f t="shared" si="6"/>
        <v>600060</v>
      </c>
      <c r="D128" s="2">
        <v>81.67</v>
      </c>
    </row>
    <row r="129" spans="1:4" s="3" customFormat="1" ht="22.5" customHeight="1">
      <c r="A129" s="1" t="str">
        <f>"李钱芬"</f>
        <v>李钱芬</v>
      </c>
      <c r="B129" s="1" t="str">
        <f>"5860406012821"</f>
        <v>5860406012821</v>
      </c>
      <c r="C129" s="1" t="str">
        <f t="shared" si="6"/>
        <v>600060</v>
      </c>
      <c r="D129" s="2">
        <v>80.67</v>
      </c>
    </row>
    <row r="130" spans="1:4" s="3" customFormat="1" ht="22.5" customHeight="1">
      <c r="A130" s="1" t="str">
        <f>"陶玉琴"</f>
        <v>陶玉琴</v>
      </c>
      <c r="B130" s="1" t="str">
        <f>"5860406012822"</f>
        <v>5860406012822</v>
      </c>
      <c r="C130" s="1" t="str">
        <f t="shared" si="6"/>
        <v>600060</v>
      </c>
      <c r="D130" s="2">
        <v>81.33</v>
      </c>
    </row>
    <row r="131" spans="1:4" s="3" customFormat="1" ht="22.5" customHeight="1">
      <c r="A131" s="1" t="str">
        <f>"朱芹"</f>
        <v>朱芹</v>
      </c>
      <c r="B131" s="1" t="str">
        <f>"5860406012905"</f>
        <v>5860406012905</v>
      </c>
      <c r="C131" s="1" t="str">
        <f t="shared" si="6"/>
        <v>600060</v>
      </c>
      <c r="D131" s="2">
        <v>81.33</v>
      </c>
    </row>
    <row r="132" spans="1:4" s="3" customFormat="1" ht="22.5" customHeight="1">
      <c r="A132" s="1" t="str">
        <f>"叶娇娇"</f>
        <v>叶娇娇</v>
      </c>
      <c r="B132" s="1" t="str">
        <f>"5860406012911"</f>
        <v>5860406012911</v>
      </c>
      <c r="C132" s="1" t="str">
        <f t="shared" si="6"/>
        <v>600060</v>
      </c>
      <c r="D132" s="2">
        <v>84</v>
      </c>
    </row>
    <row r="133" spans="1:4" s="3" customFormat="1" ht="22.5" customHeight="1">
      <c r="A133" s="1" t="str">
        <f>"庞敏"</f>
        <v>庞敏</v>
      </c>
      <c r="B133" s="1" t="str">
        <f>"5860406012916"</f>
        <v>5860406012916</v>
      </c>
      <c r="C133" s="1" t="str">
        <f t="shared" si="6"/>
        <v>600060</v>
      </c>
      <c r="D133" s="2">
        <v>79</v>
      </c>
    </row>
    <row r="134" spans="1:4" s="3" customFormat="1" ht="22.5" customHeight="1">
      <c r="A134" s="1" t="str">
        <f>"苟在敏"</f>
        <v>苟在敏</v>
      </c>
      <c r="B134" s="1" t="str">
        <f>"5860406012826"</f>
        <v>5860406012826</v>
      </c>
      <c r="C134" s="1" t="str">
        <f t="shared" si="6"/>
        <v>600060</v>
      </c>
      <c r="D134" s="2" t="s">
        <v>0</v>
      </c>
    </row>
    <row r="135" spans="1:4" s="3" customFormat="1" ht="22.5" customHeight="1">
      <c r="A135" s="1" t="str">
        <f>"熊春兰"</f>
        <v>熊春兰</v>
      </c>
      <c r="B135" s="1" t="str">
        <f>"5860406012901"</f>
        <v>5860406012901</v>
      </c>
      <c r="C135" s="1" t="str">
        <f t="shared" si="6"/>
        <v>600060</v>
      </c>
      <c r="D135" s="2">
        <v>81</v>
      </c>
    </row>
    <row r="136" spans="1:4" s="3" customFormat="1" ht="22.5" customHeight="1">
      <c r="A136" s="1" t="str">
        <f>"李亚雯"</f>
        <v>李亚雯</v>
      </c>
      <c r="B136" s="1" t="str">
        <f>"5860406012824"</f>
        <v>5860406012824</v>
      </c>
      <c r="C136" s="1" t="str">
        <f t="shared" si="6"/>
        <v>600060</v>
      </c>
      <c r="D136" s="2">
        <v>75.67</v>
      </c>
    </row>
    <row r="137" spans="1:4" s="3" customFormat="1" ht="22.5" customHeight="1">
      <c r="A137" s="1" t="str">
        <f>"宋佳丽"</f>
        <v>宋佳丽</v>
      </c>
      <c r="B137" s="1" t="str">
        <f>"5860406012830"</f>
        <v>5860406012830</v>
      </c>
      <c r="C137" s="1" t="str">
        <f t="shared" si="6"/>
        <v>600060</v>
      </c>
      <c r="D137" s="2">
        <v>82</v>
      </c>
    </row>
    <row r="138" spans="1:4" s="3" customFormat="1" ht="22.5" customHeight="1">
      <c r="A138" s="1" t="str">
        <f>"陈国敏"</f>
        <v>陈国敏</v>
      </c>
      <c r="B138" s="1" t="str">
        <f>"5860406012820"</f>
        <v>5860406012820</v>
      </c>
      <c r="C138" s="1" t="str">
        <f t="shared" si="6"/>
        <v>600060</v>
      </c>
      <c r="D138" s="2">
        <v>83</v>
      </c>
    </row>
    <row r="139" spans="1:4" s="3" customFormat="1" ht="22.5" customHeight="1">
      <c r="A139" s="1" t="str">
        <f>"刘伦宏"</f>
        <v>刘伦宏</v>
      </c>
      <c r="B139" s="1" t="str">
        <f>"5860406012827"</f>
        <v>5860406012827</v>
      </c>
      <c r="C139" s="1" t="str">
        <f t="shared" si="6"/>
        <v>600060</v>
      </c>
      <c r="D139" s="2">
        <v>80.67</v>
      </c>
    </row>
    <row r="140" spans="1:4" s="3" customFormat="1" ht="22.5" customHeight="1">
      <c r="A140" s="1" t="str">
        <f>"毕琼之"</f>
        <v>毕琼之</v>
      </c>
      <c r="B140" s="1" t="str">
        <f>"5860406012828"</f>
        <v>5860406012828</v>
      </c>
      <c r="C140" s="1" t="str">
        <f t="shared" si="6"/>
        <v>600060</v>
      </c>
      <c r="D140" s="2">
        <v>80.67</v>
      </c>
    </row>
    <row r="141" spans="1:4" s="3" customFormat="1" ht="22.5" customHeight="1">
      <c r="A141" s="1" t="str">
        <f>"严小川"</f>
        <v>严小川</v>
      </c>
      <c r="B141" s="1" t="str">
        <f>"5860406012818"</f>
        <v>5860406012818</v>
      </c>
      <c r="C141" s="1" t="str">
        <f t="shared" si="6"/>
        <v>600060</v>
      </c>
      <c r="D141" s="2">
        <v>78.67</v>
      </c>
    </row>
    <row r="142" spans="1:4" s="3" customFormat="1" ht="22.5" customHeight="1">
      <c r="A142" s="1" t="str">
        <f>"罗红"</f>
        <v>罗红</v>
      </c>
      <c r="B142" s="1" t="str">
        <f>"5860406012825"</f>
        <v>5860406012825</v>
      </c>
      <c r="C142" s="1" t="str">
        <f t="shared" si="6"/>
        <v>600060</v>
      </c>
      <c r="D142" s="2">
        <v>82.67</v>
      </c>
    </row>
    <row r="143" spans="1:4" s="3" customFormat="1" ht="22.5" customHeight="1">
      <c r="A143" s="1" t="str">
        <f>"吴红艳"</f>
        <v>吴红艳</v>
      </c>
      <c r="B143" s="1" t="str">
        <f>"5860406012815"</f>
        <v>5860406012815</v>
      </c>
      <c r="C143" s="1" t="str">
        <f t="shared" si="6"/>
        <v>600060</v>
      </c>
      <c r="D143" s="2">
        <v>79.67</v>
      </c>
    </row>
    <row r="144" spans="1:4" s="3" customFormat="1" ht="22.5" customHeight="1">
      <c r="A144" s="1" t="str">
        <f>"王杨"</f>
        <v>王杨</v>
      </c>
      <c r="B144" s="1" t="str">
        <f>"5860406012903"</f>
        <v>5860406012903</v>
      </c>
      <c r="C144" s="1" t="str">
        <f t="shared" si="6"/>
        <v>600060</v>
      </c>
      <c r="D144" s="2">
        <v>80.33</v>
      </c>
    </row>
    <row r="145" spans="1:4" s="3" customFormat="1" ht="22.5" customHeight="1">
      <c r="A145" s="1" t="str">
        <f>"曹亚玲"</f>
        <v>曹亚玲</v>
      </c>
      <c r="B145" s="1" t="str">
        <f>"5860406012814"</f>
        <v>5860406012814</v>
      </c>
      <c r="C145" s="1" t="str">
        <f t="shared" si="6"/>
        <v>600060</v>
      </c>
      <c r="D145" s="2">
        <v>79.67</v>
      </c>
    </row>
    <row r="146" spans="1:4" s="3" customFormat="1" ht="22.5" customHeight="1">
      <c r="A146" s="1" t="str">
        <f>"彭艳梅"</f>
        <v>彭艳梅</v>
      </c>
      <c r="B146" s="1" t="str">
        <f>"5860406012909"</f>
        <v>5860406012909</v>
      </c>
      <c r="C146" s="1" t="str">
        <f t="shared" si="6"/>
        <v>600060</v>
      </c>
      <c r="D146" s="2">
        <v>79.67</v>
      </c>
    </row>
    <row r="147" spans="1:4" s="3" customFormat="1" ht="22.5" customHeight="1">
      <c r="A147" s="1" t="str">
        <f>"黄嫚"</f>
        <v>黄嫚</v>
      </c>
      <c r="B147" s="1" t="str">
        <f>"5860406012917"</f>
        <v>5860406012917</v>
      </c>
      <c r="C147" s="1" t="str">
        <f t="shared" si="6"/>
        <v>600060</v>
      </c>
      <c r="D147" s="2">
        <v>81</v>
      </c>
    </row>
    <row r="148" spans="1:4" s="3" customFormat="1" ht="22.5" customHeight="1">
      <c r="A148" s="1" t="str">
        <f>"阳莉"</f>
        <v>阳莉</v>
      </c>
      <c r="B148" s="1" t="str">
        <f>"5860406012915"</f>
        <v>5860406012915</v>
      </c>
      <c r="C148" s="1" t="str">
        <f t="shared" si="6"/>
        <v>600060</v>
      </c>
      <c r="D148" s="2">
        <v>81</v>
      </c>
    </row>
    <row r="149" spans="1:4" s="3" customFormat="1" ht="22.5" customHeight="1">
      <c r="A149" s="1" t="str">
        <f>"李琳"</f>
        <v>李琳</v>
      </c>
      <c r="B149" s="1" t="str">
        <f>"5860406012902"</f>
        <v>5860406012902</v>
      </c>
      <c r="C149" s="1" t="str">
        <f t="shared" si="6"/>
        <v>600060</v>
      </c>
      <c r="D149" s="2">
        <v>79.67</v>
      </c>
    </row>
    <row r="150" spans="1:4" s="3" customFormat="1" ht="22.5" customHeight="1">
      <c r="A150" s="1" t="str">
        <f>"张姣姣"</f>
        <v>张姣姣</v>
      </c>
      <c r="B150" s="1" t="str">
        <f>"5860406012913"</f>
        <v>5860406012913</v>
      </c>
      <c r="C150" s="1" t="str">
        <f t="shared" si="6"/>
        <v>600060</v>
      </c>
      <c r="D150" s="2">
        <v>76.67</v>
      </c>
    </row>
    <row r="151" spans="1:4" s="3" customFormat="1" ht="22.5" customHeight="1">
      <c r="A151" s="1" t="str">
        <f>"李旦"</f>
        <v>李旦</v>
      </c>
      <c r="B151" s="1" t="str">
        <f>"5860406012011"</f>
        <v>5860406012011</v>
      </c>
      <c r="C151" s="1" t="str">
        <f>"600044"</f>
        <v>600044</v>
      </c>
      <c r="D151" s="2">
        <v>85.67</v>
      </c>
    </row>
    <row r="152" spans="1:4" s="3" customFormat="1" ht="22.5" customHeight="1">
      <c r="A152" s="1" t="str">
        <f>"卓杨亚"</f>
        <v>卓杨亚</v>
      </c>
      <c r="B152" s="1" t="str">
        <f>"5860406012015"</f>
        <v>5860406012015</v>
      </c>
      <c r="C152" s="1" t="str">
        <f>"600044"</f>
        <v>600044</v>
      </c>
      <c r="D152" s="2">
        <v>78.67</v>
      </c>
    </row>
    <row r="153" spans="1:4" s="3" customFormat="1" ht="22.5" customHeight="1">
      <c r="A153" s="1" t="str">
        <f>"魏方青"</f>
        <v>魏方青</v>
      </c>
      <c r="B153" s="1" t="str">
        <f>"5860406013104"</f>
        <v>5860406013104</v>
      </c>
      <c r="C153" s="1" t="str">
        <f aca="true" t="shared" si="7" ref="C153:C175">"600061"</f>
        <v>600061</v>
      </c>
      <c r="D153" s="2">
        <v>85</v>
      </c>
    </row>
    <row r="154" spans="1:4" s="3" customFormat="1" ht="22.5" customHeight="1">
      <c r="A154" s="1" t="str">
        <f>"赵丹"</f>
        <v>赵丹</v>
      </c>
      <c r="B154" s="1" t="str">
        <f>"5860406012928"</f>
        <v>5860406012928</v>
      </c>
      <c r="C154" s="1" t="str">
        <f t="shared" si="7"/>
        <v>600061</v>
      </c>
      <c r="D154" s="2">
        <v>83</v>
      </c>
    </row>
    <row r="155" spans="1:4" s="3" customFormat="1" ht="22.5" customHeight="1">
      <c r="A155" s="1" t="str">
        <f>"孙迪"</f>
        <v>孙迪</v>
      </c>
      <c r="B155" s="1" t="str">
        <f>"5860406013014"</f>
        <v>5860406013014</v>
      </c>
      <c r="C155" s="1" t="str">
        <f t="shared" si="7"/>
        <v>600061</v>
      </c>
      <c r="D155" s="2">
        <v>88.33</v>
      </c>
    </row>
    <row r="156" spans="1:4" s="3" customFormat="1" ht="22.5" customHeight="1">
      <c r="A156" s="1" t="str">
        <f>"王俊丞"</f>
        <v>王俊丞</v>
      </c>
      <c r="B156" s="1" t="str">
        <f>"5860406013020"</f>
        <v>5860406013020</v>
      </c>
      <c r="C156" s="1" t="str">
        <f t="shared" si="7"/>
        <v>600061</v>
      </c>
      <c r="D156" s="2">
        <v>79.67</v>
      </c>
    </row>
    <row r="157" spans="1:4" s="3" customFormat="1" ht="22.5" customHeight="1">
      <c r="A157" s="1" t="str">
        <f>"牟荣"</f>
        <v>牟荣</v>
      </c>
      <c r="B157" s="1" t="str">
        <f>"5860406013028"</f>
        <v>5860406013028</v>
      </c>
      <c r="C157" s="1" t="str">
        <f t="shared" si="7"/>
        <v>600061</v>
      </c>
      <c r="D157" s="2">
        <v>80</v>
      </c>
    </row>
    <row r="158" spans="1:4" s="3" customFormat="1" ht="22.5" customHeight="1">
      <c r="A158" s="1" t="str">
        <f>"王霜"</f>
        <v>王霜</v>
      </c>
      <c r="B158" s="1" t="str">
        <f>"5860406013009"</f>
        <v>5860406013009</v>
      </c>
      <c r="C158" s="1" t="str">
        <f t="shared" si="7"/>
        <v>600061</v>
      </c>
      <c r="D158" s="2">
        <v>84.33</v>
      </c>
    </row>
    <row r="159" spans="1:4" s="3" customFormat="1" ht="22.5" customHeight="1">
      <c r="A159" s="1" t="str">
        <f>"陈立妮"</f>
        <v>陈立妮</v>
      </c>
      <c r="B159" s="1" t="str">
        <f>"5860406013016"</f>
        <v>5860406013016</v>
      </c>
      <c r="C159" s="1" t="str">
        <f t="shared" si="7"/>
        <v>600061</v>
      </c>
      <c r="D159" s="2">
        <v>87.67</v>
      </c>
    </row>
    <row r="160" spans="1:4" s="3" customFormat="1" ht="22.5" customHeight="1">
      <c r="A160" s="1" t="str">
        <f>"李佳芯"</f>
        <v>李佳芯</v>
      </c>
      <c r="B160" s="1" t="str">
        <f>"5860406012925"</f>
        <v>5860406012925</v>
      </c>
      <c r="C160" s="1" t="str">
        <f t="shared" si="7"/>
        <v>600061</v>
      </c>
      <c r="D160" s="2">
        <v>87.67</v>
      </c>
    </row>
    <row r="161" spans="1:4" s="3" customFormat="1" ht="22.5" customHeight="1">
      <c r="A161" s="1" t="str">
        <f>"余磊"</f>
        <v>余磊</v>
      </c>
      <c r="B161" s="1" t="str">
        <f>"5860406013001"</f>
        <v>5860406013001</v>
      </c>
      <c r="C161" s="1" t="str">
        <f t="shared" si="7"/>
        <v>600061</v>
      </c>
      <c r="D161" s="2">
        <v>81.33</v>
      </c>
    </row>
    <row r="162" spans="1:4" s="3" customFormat="1" ht="22.5" customHeight="1">
      <c r="A162" s="1" t="str">
        <f>"廖艺"</f>
        <v>廖艺</v>
      </c>
      <c r="B162" s="1" t="str">
        <f>"5860406013003"</f>
        <v>5860406013003</v>
      </c>
      <c r="C162" s="1" t="str">
        <f t="shared" si="7"/>
        <v>600061</v>
      </c>
      <c r="D162" s="2">
        <v>85.33</v>
      </c>
    </row>
    <row r="163" spans="1:4" s="3" customFormat="1" ht="22.5" customHeight="1">
      <c r="A163" s="1" t="str">
        <f>"郭英琴"</f>
        <v>郭英琴</v>
      </c>
      <c r="B163" s="1" t="str">
        <f>"5860406013011"</f>
        <v>5860406013011</v>
      </c>
      <c r="C163" s="1" t="str">
        <f t="shared" si="7"/>
        <v>600061</v>
      </c>
      <c r="D163" s="2">
        <v>83.67</v>
      </c>
    </row>
    <row r="164" spans="1:4" s="3" customFormat="1" ht="22.5" customHeight="1">
      <c r="A164" s="1" t="str">
        <f>"郑月梅"</f>
        <v>郑月梅</v>
      </c>
      <c r="B164" s="1" t="str">
        <f>"5860406012930"</f>
        <v>5860406012930</v>
      </c>
      <c r="C164" s="1" t="str">
        <f t="shared" si="7"/>
        <v>600061</v>
      </c>
      <c r="D164" s="2">
        <v>82.33</v>
      </c>
    </row>
    <row r="165" spans="1:4" s="3" customFormat="1" ht="22.5" customHeight="1">
      <c r="A165" s="1" t="str">
        <f>"罗发莹"</f>
        <v>罗发莹</v>
      </c>
      <c r="B165" s="1" t="str">
        <f>"5860406012922"</f>
        <v>5860406012922</v>
      </c>
      <c r="C165" s="1" t="str">
        <f t="shared" si="7"/>
        <v>600061</v>
      </c>
      <c r="D165" s="2">
        <v>80</v>
      </c>
    </row>
    <row r="166" spans="1:4" s="3" customFormat="1" ht="22.5" customHeight="1">
      <c r="A166" s="1" t="str">
        <f>"向美"</f>
        <v>向美</v>
      </c>
      <c r="B166" s="1" t="str">
        <f>"5860406012923"</f>
        <v>5860406012923</v>
      </c>
      <c r="C166" s="1" t="str">
        <f t="shared" si="7"/>
        <v>600061</v>
      </c>
      <c r="D166" s="2">
        <v>77.67</v>
      </c>
    </row>
    <row r="167" spans="1:4" s="3" customFormat="1" ht="22.5" customHeight="1">
      <c r="A167" s="1" t="str">
        <f>"田冬勤"</f>
        <v>田冬勤</v>
      </c>
      <c r="B167" s="1" t="str">
        <f>"5860406013005"</f>
        <v>5860406013005</v>
      </c>
      <c r="C167" s="1" t="str">
        <f t="shared" si="7"/>
        <v>600061</v>
      </c>
      <c r="D167" s="2">
        <v>72.33</v>
      </c>
    </row>
    <row r="168" spans="1:4" s="3" customFormat="1" ht="22.5" customHeight="1">
      <c r="A168" s="1" t="str">
        <f>"王燕"</f>
        <v>王燕</v>
      </c>
      <c r="B168" s="1" t="str">
        <f>"5860406013015"</f>
        <v>5860406013015</v>
      </c>
      <c r="C168" s="1" t="str">
        <f t="shared" si="7"/>
        <v>600061</v>
      </c>
      <c r="D168" s="2">
        <v>84</v>
      </c>
    </row>
    <row r="169" spans="1:4" s="3" customFormat="1" ht="22.5" customHeight="1">
      <c r="A169" s="1" t="str">
        <f>"唐方莉"</f>
        <v>唐方莉</v>
      </c>
      <c r="B169" s="1" t="str">
        <f>"5860406012929"</f>
        <v>5860406012929</v>
      </c>
      <c r="C169" s="1" t="str">
        <f t="shared" si="7"/>
        <v>600061</v>
      </c>
      <c r="D169" s="2">
        <v>83.33</v>
      </c>
    </row>
    <row r="170" spans="1:4" s="3" customFormat="1" ht="22.5" customHeight="1">
      <c r="A170" s="1" t="str">
        <f>"邓琳凡"</f>
        <v>邓琳凡</v>
      </c>
      <c r="B170" s="1" t="str">
        <f>"5860406013008"</f>
        <v>5860406013008</v>
      </c>
      <c r="C170" s="1" t="str">
        <f t="shared" si="7"/>
        <v>600061</v>
      </c>
      <c r="D170" s="2">
        <v>85.33</v>
      </c>
    </row>
    <row r="171" spans="1:4" s="3" customFormat="1" ht="22.5" customHeight="1">
      <c r="A171" s="1" t="str">
        <f>"陈园园"</f>
        <v>陈园园</v>
      </c>
      <c r="B171" s="1" t="str">
        <f>"5860406013103"</f>
        <v>5860406013103</v>
      </c>
      <c r="C171" s="1" t="str">
        <f t="shared" si="7"/>
        <v>600061</v>
      </c>
      <c r="D171" s="2">
        <v>78.67</v>
      </c>
    </row>
    <row r="172" spans="1:4" s="3" customFormat="1" ht="22.5" customHeight="1">
      <c r="A172" s="1" t="str">
        <f>"张雪琪"</f>
        <v>张雪琪</v>
      </c>
      <c r="B172" s="1" t="str">
        <f>"5860406013030"</f>
        <v>5860406013030</v>
      </c>
      <c r="C172" s="1" t="str">
        <f t="shared" si="7"/>
        <v>600061</v>
      </c>
      <c r="D172" s="2">
        <v>81</v>
      </c>
    </row>
    <row r="173" spans="1:4" s="3" customFormat="1" ht="22.5" customHeight="1">
      <c r="A173" s="1" t="str">
        <f>"凌倩"</f>
        <v>凌倩</v>
      </c>
      <c r="B173" s="1" t="str">
        <f>"5860406013024"</f>
        <v>5860406013024</v>
      </c>
      <c r="C173" s="1" t="str">
        <f t="shared" si="7"/>
        <v>600061</v>
      </c>
      <c r="D173" s="2" t="s">
        <v>0</v>
      </c>
    </row>
    <row r="174" spans="1:4" s="3" customFormat="1" ht="22.5" customHeight="1">
      <c r="A174" s="1" t="str">
        <f>"牟丹"</f>
        <v>牟丹</v>
      </c>
      <c r="B174" s="1" t="str">
        <f>"5860406013026"</f>
        <v>5860406013026</v>
      </c>
      <c r="C174" s="1" t="str">
        <f t="shared" si="7"/>
        <v>600061</v>
      </c>
      <c r="D174" s="2">
        <v>73</v>
      </c>
    </row>
    <row r="175" spans="1:4" s="3" customFormat="1" ht="22.5" customHeight="1">
      <c r="A175" s="1" t="str">
        <f>"张丽文"</f>
        <v>张丽文</v>
      </c>
      <c r="B175" s="1" t="str">
        <f>"5860406013022"</f>
        <v>5860406013022</v>
      </c>
      <c r="C175" s="1" t="str">
        <f t="shared" si="7"/>
        <v>600061</v>
      </c>
      <c r="D175" s="2">
        <v>86.33</v>
      </c>
    </row>
    <row r="176" spans="1:4" s="3" customFormat="1" ht="22.5" customHeight="1">
      <c r="A176" s="1" t="str">
        <f>"赵继红"</f>
        <v>赵继红</v>
      </c>
      <c r="B176" s="1" t="str">
        <f>"5860406022005"</f>
        <v>5860406022005</v>
      </c>
      <c r="C176" s="1" t="str">
        <f aca="true" t="shared" si="8" ref="C176:C211">"600080"</f>
        <v>600080</v>
      </c>
      <c r="D176" s="2">
        <v>82.33</v>
      </c>
    </row>
    <row r="177" spans="1:4" s="3" customFormat="1" ht="22.5" customHeight="1">
      <c r="A177" s="1" t="str">
        <f>"陈媛"</f>
        <v>陈媛</v>
      </c>
      <c r="B177" s="1" t="str">
        <f>"5860406022212"</f>
        <v>5860406022212</v>
      </c>
      <c r="C177" s="1" t="str">
        <f t="shared" si="8"/>
        <v>600080</v>
      </c>
      <c r="D177" s="2">
        <v>80</v>
      </c>
    </row>
    <row r="178" spans="1:4" s="3" customFormat="1" ht="22.5" customHeight="1">
      <c r="A178" s="1" t="str">
        <f>"汤玉婷"</f>
        <v>汤玉婷</v>
      </c>
      <c r="B178" s="1" t="str">
        <f>"5860406022013"</f>
        <v>5860406022013</v>
      </c>
      <c r="C178" s="1" t="str">
        <f t="shared" si="8"/>
        <v>600080</v>
      </c>
      <c r="D178" s="2">
        <v>81</v>
      </c>
    </row>
    <row r="179" spans="1:4" s="3" customFormat="1" ht="22.5" customHeight="1">
      <c r="A179" s="1" t="str">
        <f>"李筱夕"</f>
        <v>李筱夕</v>
      </c>
      <c r="B179" s="1" t="str">
        <f>"5860406022008"</f>
        <v>5860406022008</v>
      </c>
      <c r="C179" s="1" t="str">
        <f t="shared" si="8"/>
        <v>600080</v>
      </c>
      <c r="D179" s="2">
        <v>81</v>
      </c>
    </row>
    <row r="180" spans="1:4" s="3" customFormat="1" ht="22.5" customHeight="1">
      <c r="A180" s="1" t="str">
        <f>"彭修燕"</f>
        <v>彭修燕</v>
      </c>
      <c r="B180" s="1" t="str">
        <f>"5860406022011"</f>
        <v>5860406022011</v>
      </c>
      <c r="C180" s="1" t="str">
        <f t="shared" si="8"/>
        <v>600080</v>
      </c>
      <c r="D180" s="2">
        <v>79</v>
      </c>
    </row>
    <row r="181" spans="1:4" s="3" customFormat="1" ht="22.5" customHeight="1">
      <c r="A181" s="1" t="str">
        <f>"罗虹"</f>
        <v>罗虹</v>
      </c>
      <c r="B181" s="1" t="str">
        <f>"5860406022025"</f>
        <v>5860406022025</v>
      </c>
      <c r="C181" s="1" t="str">
        <f t="shared" si="8"/>
        <v>600080</v>
      </c>
      <c r="D181" s="2">
        <v>78.67</v>
      </c>
    </row>
    <row r="182" spans="1:4" s="3" customFormat="1" ht="22.5" customHeight="1">
      <c r="A182" s="1" t="str">
        <f>"黄张萍"</f>
        <v>黄张萍</v>
      </c>
      <c r="B182" s="1" t="str">
        <f>"5860406022209"</f>
        <v>5860406022209</v>
      </c>
      <c r="C182" s="1" t="str">
        <f t="shared" si="8"/>
        <v>600080</v>
      </c>
      <c r="D182" s="2">
        <v>81.67</v>
      </c>
    </row>
    <row r="183" spans="1:4" s="3" customFormat="1" ht="22.5" customHeight="1">
      <c r="A183" s="1" t="str">
        <f>"周红豆"</f>
        <v>周红豆</v>
      </c>
      <c r="B183" s="1" t="str">
        <f>"5860406022304"</f>
        <v>5860406022304</v>
      </c>
      <c r="C183" s="1" t="str">
        <f t="shared" si="8"/>
        <v>600080</v>
      </c>
      <c r="D183" s="2">
        <v>80.33</v>
      </c>
    </row>
    <row r="184" spans="1:4" s="3" customFormat="1" ht="22.5" customHeight="1">
      <c r="A184" s="1" t="str">
        <f>"陶雪莲"</f>
        <v>陶雪莲</v>
      </c>
      <c r="B184" s="1" t="str">
        <f>"5860406022026"</f>
        <v>5860406022026</v>
      </c>
      <c r="C184" s="1" t="str">
        <f t="shared" si="8"/>
        <v>600080</v>
      </c>
      <c r="D184" s="2">
        <v>78</v>
      </c>
    </row>
    <row r="185" spans="1:4" s="3" customFormat="1" ht="22.5" customHeight="1">
      <c r="A185" s="1" t="str">
        <f>"贾绣菊"</f>
        <v>贾绣菊</v>
      </c>
      <c r="B185" s="1" t="str">
        <f>"5860406022112"</f>
        <v>5860406022112</v>
      </c>
      <c r="C185" s="1" t="str">
        <f t="shared" si="8"/>
        <v>600080</v>
      </c>
      <c r="D185" s="2">
        <v>80.67</v>
      </c>
    </row>
    <row r="186" spans="1:4" s="3" customFormat="1" ht="22.5" customHeight="1">
      <c r="A186" s="1" t="str">
        <f>"刘鸿"</f>
        <v>刘鸿</v>
      </c>
      <c r="B186" s="1" t="str">
        <f>"5860406022004"</f>
        <v>5860406022004</v>
      </c>
      <c r="C186" s="1" t="str">
        <f t="shared" si="8"/>
        <v>600080</v>
      </c>
      <c r="D186" s="2">
        <v>75.33</v>
      </c>
    </row>
    <row r="187" spans="1:4" s="3" customFormat="1" ht="22.5" customHeight="1">
      <c r="A187" s="1" t="str">
        <f>"黄珍"</f>
        <v>黄珍</v>
      </c>
      <c r="B187" s="1" t="str">
        <f>"5860406022014"</f>
        <v>5860406022014</v>
      </c>
      <c r="C187" s="1" t="str">
        <f t="shared" si="8"/>
        <v>600080</v>
      </c>
      <c r="D187" s="2">
        <v>80</v>
      </c>
    </row>
    <row r="188" spans="1:4" s="3" customFormat="1" ht="22.5" customHeight="1">
      <c r="A188" s="1" t="str">
        <f>"朱明华"</f>
        <v>朱明华</v>
      </c>
      <c r="B188" s="1" t="str">
        <f>"5860406022219"</f>
        <v>5860406022219</v>
      </c>
      <c r="C188" s="1" t="str">
        <f t="shared" si="8"/>
        <v>600080</v>
      </c>
      <c r="D188" s="2">
        <v>77.33</v>
      </c>
    </row>
    <row r="189" spans="1:4" s="3" customFormat="1" ht="22.5" customHeight="1">
      <c r="A189" s="1" t="str">
        <f>"杨柳"</f>
        <v>杨柳</v>
      </c>
      <c r="B189" s="1" t="str">
        <f>"5860406022220"</f>
        <v>5860406022220</v>
      </c>
      <c r="C189" s="1" t="str">
        <f t="shared" si="8"/>
        <v>600080</v>
      </c>
      <c r="D189" s="2">
        <v>74.67</v>
      </c>
    </row>
    <row r="190" spans="1:4" s="3" customFormat="1" ht="22.5" customHeight="1">
      <c r="A190" s="1" t="str">
        <f>"肖沙沙"</f>
        <v>肖沙沙</v>
      </c>
      <c r="B190" s="1" t="str">
        <f>"5860406022226"</f>
        <v>5860406022226</v>
      </c>
      <c r="C190" s="1" t="str">
        <f t="shared" si="8"/>
        <v>600080</v>
      </c>
      <c r="D190" s="2">
        <v>73.67</v>
      </c>
    </row>
    <row r="191" spans="1:4" s="3" customFormat="1" ht="22.5" customHeight="1">
      <c r="A191" s="1" t="str">
        <f>"赵玲"</f>
        <v>赵玲</v>
      </c>
      <c r="B191" s="1" t="str">
        <f>"5860406022120"</f>
        <v>5860406022120</v>
      </c>
      <c r="C191" s="1" t="str">
        <f t="shared" si="8"/>
        <v>600080</v>
      </c>
      <c r="D191" s="2">
        <v>76.67</v>
      </c>
    </row>
    <row r="192" spans="1:4" s="3" customFormat="1" ht="22.5" customHeight="1">
      <c r="A192" s="1" t="str">
        <f>"朱洪秀"</f>
        <v>朱洪秀</v>
      </c>
      <c r="B192" s="1" t="str">
        <f>"5860406022207"</f>
        <v>5860406022207</v>
      </c>
      <c r="C192" s="1" t="str">
        <f t="shared" si="8"/>
        <v>600080</v>
      </c>
      <c r="D192" s="2">
        <v>81.33</v>
      </c>
    </row>
    <row r="193" spans="1:4" s="3" customFormat="1" ht="22.5" customHeight="1">
      <c r="A193" s="1" t="str">
        <f>"贺进进"</f>
        <v>贺进进</v>
      </c>
      <c r="B193" s="1" t="str">
        <f>"5860406022028"</f>
        <v>5860406022028</v>
      </c>
      <c r="C193" s="1" t="str">
        <f t="shared" si="8"/>
        <v>600080</v>
      </c>
      <c r="D193" s="2">
        <v>78</v>
      </c>
    </row>
    <row r="194" spans="1:4" s="3" customFormat="1" ht="22.5" customHeight="1">
      <c r="A194" s="1" t="str">
        <f>"石雪玲"</f>
        <v>石雪玲</v>
      </c>
      <c r="B194" s="1" t="str">
        <f>"5860406022103"</f>
        <v>5860406022103</v>
      </c>
      <c r="C194" s="1" t="str">
        <f t="shared" si="8"/>
        <v>600080</v>
      </c>
      <c r="D194" s="2">
        <v>75.67</v>
      </c>
    </row>
    <row r="195" spans="1:4" s="3" customFormat="1" ht="22.5" customHeight="1">
      <c r="A195" s="1" t="str">
        <f>"邓娜"</f>
        <v>邓娜</v>
      </c>
      <c r="B195" s="1" t="str">
        <f>"5860406022006"</f>
        <v>5860406022006</v>
      </c>
      <c r="C195" s="1" t="str">
        <f t="shared" si="8"/>
        <v>600080</v>
      </c>
      <c r="D195" s="2">
        <v>77.33</v>
      </c>
    </row>
    <row r="196" spans="1:4" s="3" customFormat="1" ht="22.5" customHeight="1">
      <c r="A196" s="1" t="str">
        <f>"许中静"</f>
        <v>许中静</v>
      </c>
      <c r="B196" s="1" t="str">
        <f>"5860406022129"</f>
        <v>5860406022129</v>
      </c>
      <c r="C196" s="1" t="str">
        <f t="shared" si="8"/>
        <v>600080</v>
      </c>
      <c r="D196" s="2">
        <v>73.33</v>
      </c>
    </row>
    <row r="197" spans="1:4" s="3" customFormat="1" ht="22.5" customHeight="1">
      <c r="A197" s="1" t="str">
        <f>"郑茜尹"</f>
        <v>郑茜尹</v>
      </c>
      <c r="B197" s="1" t="str">
        <f>"5860406022018"</f>
        <v>5860406022018</v>
      </c>
      <c r="C197" s="1" t="str">
        <f t="shared" si="8"/>
        <v>600080</v>
      </c>
      <c r="D197" s="2">
        <v>82.33</v>
      </c>
    </row>
    <row r="198" spans="1:4" s="3" customFormat="1" ht="22.5" customHeight="1">
      <c r="A198" s="1" t="str">
        <f>"何梁琴"</f>
        <v>何梁琴</v>
      </c>
      <c r="B198" s="1" t="str">
        <f>"5860406022021"</f>
        <v>5860406022021</v>
      </c>
      <c r="C198" s="1" t="str">
        <f t="shared" si="8"/>
        <v>600080</v>
      </c>
      <c r="D198" s="2">
        <v>78.67</v>
      </c>
    </row>
    <row r="199" spans="1:4" s="3" customFormat="1" ht="22.5" customHeight="1">
      <c r="A199" s="1" t="str">
        <f>"雷小慧"</f>
        <v>雷小慧</v>
      </c>
      <c r="B199" s="1" t="str">
        <f>"5860406022210"</f>
        <v>5860406022210</v>
      </c>
      <c r="C199" s="1" t="str">
        <f t="shared" si="8"/>
        <v>600080</v>
      </c>
      <c r="D199" s="2">
        <v>80</v>
      </c>
    </row>
    <row r="200" spans="1:4" s="3" customFormat="1" ht="22.5" customHeight="1">
      <c r="A200" s="1" t="str">
        <f>"张前红"</f>
        <v>张前红</v>
      </c>
      <c r="B200" s="1" t="str">
        <f>"5860406022306"</f>
        <v>5860406022306</v>
      </c>
      <c r="C200" s="1" t="str">
        <f t="shared" si="8"/>
        <v>600080</v>
      </c>
      <c r="D200" s="2">
        <v>85.33</v>
      </c>
    </row>
    <row r="201" spans="1:4" s="3" customFormat="1" ht="22.5" customHeight="1">
      <c r="A201" s="1" t="str">
        <f>"王玉娇"</f>
        <v>王玉娇</v>
      </c>
      <c r="B201" s="1" t="str">
        <f>"5860406022022"</f>
        <v>5860406022022</v>
      </c>
      <c r="C201" s="1" t="str">
        <f t="shared" si="8"/>
        <v>600080</v>
      </c>
      <c r="D201" s="2">
        <v>77.33</v>
      </c>
    </row>
    <row r="202" spans="1:4" s="3" customFormat="1" ht="22.5" customHeight="1">
      <c r="A202" s="1" t="str">
        <f>"余萍"</f>
        <v>余萍</v>
      </c>
      <c r="B202" s="1" t="str">
        <f>"5860406022106"</f>
        <v>5860406022106</v>
      </c>
      <c r="C202" s="1" t="str">
        <f t="shared" si="8"/>
        <v>600080</v>
      </c>
      <c r="D202" s="2">
        <v>81.33</v>
      </c>
    </row>
    <row r="203" spans="1:4" s="3" customFormat="1" ht="22.5" customHeight="1">
      <c r="A203" s="1" t="str">
        <f>"张雪梅"</f>
        <v>张雪梅</v>
      </c>
      <c r="B203" s="1" t="str">
        <f>"5860406022023"</f>
        <v>5860406022023</v>
      </c>
      <c r="C203" s="1" t="str">
        <f t="shared" si="8"/>
        <v>600080</v>
      </c>
      <c r="D203" s="2">
        <v>83.67</v>
      </c>
    </row>
    <row r="204" spans="1:4" s="3" customFormat="1" ht="22.5" customHeight="1">
      <c r="A204" s="1" t="str">
        <f>"冯小娟"</f>
        <v>冯小娟</v>
      </c>
      <c r="B204" s="1" t="str">
        <f>"5860406022121"</f>
        <v>5860406022121</v>
      </c>
      <c r="C204" s="1" t="str">
        <f t="shared" si="8"/>
        <v>600080</v>
      </c>
      <c r="D204" s="2">
        <v>81.33</v>
      </c>
    </row>
    <row r="205" spans="1:4" s="3" customFormat="1" ht="22.5" customHeight="1">
      <c r="A205" s="1" t="str">
        <f>"邢彩霞"</f>
        <v>邢彩霞</v>
      </c>
      <c r="B205" s="1" t="str">
        <f>"5860406022318"</f>
        <v>5860406022318</v>
      </c>
      <c r="C205" s="1" t="str">
        <f t="shared" si="8"/>
        <v>600080</v>
      </c>
      <c r="D205" s="2">
        <v>79.67</v>
      </c>
    </row>
    <row r="206" spans="1:4" s="3" customFormat="1" ht="22.5" customHeight="1">
      <c r="A206" s="1" t="str">
        <f>"苏小菊"</f>
        <v>苏小菊</v>
      </c>
      <c r="B206" s="1" t="str">
        <f>"5860406022108"</f>
        <v>5860406022108</v>
      </c>
      <c r="C206" s="1" t="str">
        <f t="shared" si="8"/>
        <v>600080</v>
      </c>
      <c r="D206" s="2">
        <v>77.67</v>
      </c>
    </row>
    <row r="207" spans="1:4" s="3" customFormat="1" ht="22.5" customHeight="1">
      <c r="A207" s="1" t="str">
        <f>"陈露萍"</f>
        <v>陈露萍</v>
      </c>
      <c r="B207" s="1" t="str">
        <f>"5860406022213"</f>
        <v>5860406022213</v>
      </c>
      <c r="C207" s="1" t="str">
        <f t="shared" si="8"/>
        <v>600080</v>
      </c>
      <c r="D207" s="2">
        <v>81.67</v>
      </c>
    </row>
    <row r="208" spans="1:4" s="3" customFormat="1" ht="22.5" customHeight="1">
      <c r="A208" s="1" t="str">
        <f>"胡静"</f>
        <v>胡静</v>
      </c>
      <c r="B208" s="1" t="str">
        <f>"5860406022305"</f>
        <v>5860406022305</v>
      </c>
      <c r="C208" s="1" t="str">
        <f t="shared" si="8"/>
        <v>600080</v>
      </c>
      <c r="D208" s="2">
        <v>80</v>
      </c>
    </row>
    <row r="209" spans="1:4" s="3" customFormat="1" ht="22.5" customHeight="1">
      <c r="A209" s="1" t="str">
        <f>"曾莉"</f>
        <v>曾莉</v>
      </c>
      <c r="B209" s="1" t="str">
        <f>"5860406022316"</f>
        <v>5860406022316</v>
      </c>
      <c r="C209" s="1" t="str">
        <f t="shared" si="8"/>
        <v>600080</v>
      </c>
      <c r="D209" s="2">
        <v>78.67</v>
      </c>
    </row>
    <row r="210" spans="1:4" s="3" customFormat="1" ht="22.5" customHeight="1">
      <c r="A210" s="1" t="str">
        <f>"王秋萍"</f>
        <v>王秋萍</v>
      </c>
      <c r="B210" s="1" t="str">
        <f>"5860406022003"</f>
        <v>5860406022003</v>
      </c>
      <c r="C210" s="1" t="str">
        <f t="shared" si="8"/>
        <v>600080</v>
      </c>
      <c r="D210" s="2">
        <v>73</v>
      </c>
    </row>
    <row r="211" spans="1:4" s="3" customFormat="1" ht="22.5" customHeight="1">
      <c r="A211" s="1" t="str">
        <f>"张邓荣"</f>
        <v>张邓荣</v>
      </c>
      <c r="B211" s="1" t="str">
        <f>"5860406022310"</f>
        <v>5860406022310</v>
      </c>
      <c r="C211" s="1" t="str">
        <f t="shared" si="8"/>
        <v>600080</v>
      </c>
      <c r="D211" s="2">
        <v>81</v>
      </c>
    </row>
    <row r="212" spans="1:4" s="3" customFormat="1" ht="22.5" customHeight="1">
      <c r="A212" s="1" t="str">
        <f>"覃姜伟"</f>
        <v>覃姜伟</v>
      </c>
      <c r="B212" s="1" t="str">
        <f>"5860406022423"</f>
        <v>5860406022423</v>
      </c>
      <c r="C212" s="1" t="str">
        <f aca="true" t="shared" si="9" ref="C212:C239">"600081"</f>
        <v>600081</v>
      </c>
      <c r="D212" s="2">
        <v>81.67</v>
      </c>
    </row>
    <row r="213" spans="1:4" s="3" customFormat="1" ht="22.5" customHeight="1">
      <c r="A213" s="1" t="str">
        <f>"刘凤娟"</f>
        <v>刘凤娟</v>
      </c>
      <c r="B213" s="1" t="str">
        <f>"5860406022408"</f>
        <v>5860406022408</v>
      </c>
      <c r="C213" s="1" t="str">
        <f t="shared" si="9"/>
        <v>600081</v>
      </c>
      <c r="D213" s="2">
        <v>83.67</v>
      </c>
    </row>
    <row r="214" spans="1:4" s="3" customFormat="1" ht="22.5" customHeight="1">
      <c r="A214" s="1" t="str">
        <f>"刘倩"</f>
        <v>刘倩</v>
      </c>
      <c r="B214" s="1" t="str">
        <f>"5860406022502"</f>
        <v>5860406022502</v>
      </c>
      <c r="C214" s="1" t="str">
        <f t="shared" si="9"/>
        <v>600081</v>
      </c>
      <c r="D214" s="2">
        <v>81.67</v>
      </c>
    </row>
    <row r="215" spans="1:4" s="3" customFormat="1" ht="22.5" customHeight="1">
      <c r="A215" s="1" t="str">
        <f>"周庆"</f>
        <v>周庆</v>
      </c>
      <c r="B215" s="1" t="str">
        <f>"5860406022425"</f>
        <v>5860406022425</v>
      </c>
      <c r="C215" s="1" t="str">
        <f t="shared" si="9"/>
        <v>600081</v>
      </c>
      <c r="D215" s="2">
        <v>81.33</v>
      </c>
    </row>
    <row r="216" spans="1:4" s="3" customFormat="1" ht="22.5" customHeight="1">
      <c r="A216" s="1" t="str">
        <f>"王宗玲"</f>
        <v>王宗玲</v>
      </c>
      <c r="B216" s="1" t="str">
        <f>"5860406022429"</f>
        <v>5860406022429</v>
      </c>
      <c r="C216" s="1" t="str">
        <f t="shared" si="9"/>
        <v>600081</v>
      </c>
      <c r="D216" s="2">
        <v>82.67</v>
      </c>
    </row>
    <row r="217" spans="1:4" s="3" customFormat="1" ht="22.5" customHeight="1">
      <c r="A217" s="1" t="str">
        <f>"邓月琴"</f>
        <v>邓月琴</v>
      </c>
      <c r="B217" s="1" t="str">
        <f>"5860406022322"</f>
        <v>5860406022322</v>
      </c>
      <c r="C217" s="1" t="str">
        <f t="shared" si="9"/>
        <v>600081</v>
      </c>
      <c r="D217" s="2">
        <v>85.33</v>
      </c>
    </row>
    <row r="218" spans="1:4" s="3" customFormat="1" ht="22.5" customHeight="1">
      <c r="A218" s="1" t="str">
        <f>"蒋海燕"</f>
        <v>蒋海燕</v>
      </c>
      <c r="B218" s="1" t="str">
        <f>"5860406022415"</f>
        <v>5860406022415</v>
      </c>
      <c r="C218" s="1" t="str">
        <f t="shared" si="9"/>
        <v>600081</v>
      </c>
      <c r="D218" s="2">
        <v>82.33</v>
      </c>
    </row>
    <row r="219" spans="1:4" s="3" customFormat="1" ht="22.5" customHeight="1">
      <c r="A219" s="1" t="str">
        <f>"唐晔"</f>
        <v>唐晔</v>
      </c>
      <c r="B219" s="1" t="str">
        <f>"5860406022418"</f>
        <v>5860406022418</v>
      </c>
      <c r="C219" s="1" t="str">
        <f t="shared" si="9"/>
        <v>600081</v>
      </c>
      <c r="D219" s="2">
        <v>84.33</v>
      </c>
    </row>
    <row r="220" spans="1:4" s="3" customFormat="1" ht="22.5" customHeight="1">
      <c r="A220" s="1" t="str">
        <f>"曾凤"</f>
        <v>曾凤</v>
      </c>
      <c r="B220" s="1" t="str">
        <f>"5860406022327"</f>
        <v>5860406022327</v>
      </c>
      <c r="C220" s="1" t="str">
        <f t="shared" si="9"/>
        <v>600081</v>
      </c>
      <c r="D220" s="2">
        <v>79</v>
      </c>
    </row>
    <row r="221" spans="1:4" s="3" customFormat="1" ht="22.5" customHeight="1">
      <c r="A221" s="1" t="str">
        <f>"刘贤菊"</f>
        <v>刘贤菊</v>
      </c>
      <c r="B221" s="1" t="str">
        <f>"5860406022403"</f>
        <v>5860406022403</v>
      </c>
      <c r="C221" s="1" t="str">
        <f t="shared" si="9"/>
        <v>600081</v>
      </c>
      <c r="D221" s="2">
        <v>81.33</v>
      </c>
    </row>
    <row r="222" spans="1:4" s="3" customFormat="1" ht="22.5" customHeight="1">
      <c r="A222" s="1" t="str">
        <f>"龙杨"</f>
        <v>龙杨</v>
      </c>
      <c r="B222" s="1" t="str">
        <f>"5860406022420"</f>
        <v>5860406022420</v>
      </c>
      <c r="C222" s="1" t="str">
        <f t="shared" si="9"/>
        <v>600081</v>
      </c>
      <c r="D222" s="2">
        <v>77</v>
      </c>
    </row>
    <row r="223" spans="1:4" s="3" customFormat="1" ht="22.5" customHeight="1">
      <c r="A223" s="1" t="str">
        <f>"管丹"</f>
        <v>管丹</v>
      </c>
      <c r="B223" s="1" t="str">
        <f>"5860406022328"</f>
        <v>5860406022328</v>
      </c>
      <c r="C223" s="1" t="str">
        <f t="shared" si="9"/>
        <v>600081</v>
      </c>
      <c r="D223" s="2">
        <v>83.33</v>
      </c>
    </row>
    <row r="224" spans="1:4" s="3" customFormat="1" ht="22.5" customHeight="1">
      <c r="A224" s="1" t="str">
        <f>"李小丽"</f>
        <v>李小丽</v>
      </c>
      <c r="B224" s="1" t="str">
        <f>"5860406022412"</f>
        <v>5860406022412</v>
      </c>
      <c r="C224" s="1" t="str">
        <f t="shared" si="9"/>
        <v>600081</v>
      </c>
      <c r="D224" s="2">
        <v>77.67</v>
      </c>
    </row>
    <row r="225" spans="1:4" s="3" customFormat="1" ht="22.5" customHeight="1">
      <c r="A225" s="1" t="str">
        <f>"唐兰"</f>
        <v>唐兰</v>
      </c>
      <c r="B225" s="1" t="str">
        <f>"5860406022503"</f>
        <v>5860406022503</v>
      </c>
      <c r="C225" s="1" t="str">
        <f t="shared" si="9"/>
        <v>600081</v>
      </c>
      <c r="D225" s="2">
        <v>82.33</v>
      </c>
    </row>
    <row r="226" spans="1:4" s="3" customFormat="1" ht="22.5" customHeight="1">
      <c r="A226" s="1" t="str">
        <f>"熊娇娇"</f>
        <v>熊娇娇</v>
      </c>
      <c r="B226" s="1" t="str">
        <f>"5860406022326"</f>
        <v>5860406022326</v>
      </c>
      <c r="C226" s="1" t="str">
        <f t="shared" si="9"/>
        <v>600081</v>
      </c>
      <c r="D226" s="2">
        <v>82</v>
      </c>
    </row>
    <row r="227" spans="1:4" s="3" customFormat="1" ht="22.5" customHeight="1">
      <c r="A227" s="1" t="str">
        <f>"庞欣怡"</f>
        <v>庞欣怡</v>
      </c>
      <c r="B227" s="1" t="str">
        <f>"5860406022414"</f>
        <v>5860406022414</v>
      </c>
      <c r="C227" s="1" t="str">
        <f t="shared" si="9"/>
        <v>600081</v>
      </c>
      <c r="D227" s="2">
        <v>85.33</v>
      </c>
    </row>
    <row r="228" spans="1:4" s="3" customFormat="1" ht="22.5" customHeight="1">
      <c r="A228" s="1" t="str">
        <f>"徐红艳"</f>
        <v>徐红艳</v>
      </c>
      <c r="B228" s="1" t="str">
        <f>"5860406022325"</f>
        <v>5860406022325</v>
      </c>
      <c r="C228" s="1" t="str">
        <f t="shared" si="9"/>
        <v>600081</v>
      </c>
      <c r="D228" s="2">
        <v>80.33</v>
      </c>
    </row>
    <row r="229" spans="1:4" s="3" customFormat="1" ht="22.5" customHeight="1">
      <c r="A229" s="1" t="str">
        <f>"唐甜"</f>
        <v>唐甜</v>
      </c>
      <c r="B229" s="1" t="str">
        <f>"5860406022501"</f>
        <v>5860406022501</v>
      </c>
      <c r="C229" s="1" t="str">
        <f t="shared" si="9"/>
        <v>600081</v>
      </c>
      <c r="D229" s="2">
        <v>79.67</v>
      </c>
    </row>
    <row r="230" spans="1:4" s="3" customFormat="1" ht="22.5" customHeight="1">
      <c r="A230" s="1" t="str">
        <f>"王蓉"</f>
        <v>王蓉</v>
      </c>
      <c r="B230" s="1" t="str">
        <f>"5860406022405"</f>
        <v>5860406022405</v>
      </c>
      <c r="C230" s="1" t="str">
        <f t="shared" si="9"/>
        <v>600081</v>
      </c>
      <c r="D230" s="2">
        <v>82.67</v>
      </c>
    </row>
    <row r="231" spans="1:4" s="3" customFormat="1" ht="22.5" customHeight="1">
      <c r="A231" s="1" t="str">
        <f>"蔡溶"</f>
        <v>蔡溶</v>
      </c>
      <c r="B231" s="1" t="str">
        <f>"5860406022406"</f>
        <v>5860406022406</v>
      </c>
      <c r="C231" s="1" t="str">
        <f t="shared" si="9"/>
        <v>600081</v>
      </c>
      <c r="D231" s="2">
        <v>79.33</v>
      </c>
    </row>
    <row r="232" spans="1:4" s="3" customFormat="1" ht="22.5" customHeight="1">
      <c r="A232" s="1" t="str">
        <f>"方圣泉"</f>
        <v>方圣泉</v>
      </c>
      <c r="B232" s="1" t="str">
        <f>"5860406022416"</f>
        <v>5860406022416</v>
      </c>
      <c r="C232" s="1" t="str">
        <f t="shared" si="9"/>
        <v>600081</v>
      </c>
      <c r="D232" s="2" t="s">
        <v>0</v>
      </c>
    </row>
    <row r="233" spans="1:4" s="3" customFormat="1" ht="22.5" customHeight="1">
      <c r="A233" s="1" t="str">
        <f>"王梅"</f>
        <v>王梅</v>
      </c>
      <c r="B233" s="1" t="str">
        <f>"5860406022410"</f>
        <v>5860406022410</v>
      </c>
      <c r="C233" s="1" t="str">
        <f t="shared" si="9"/>
        <v>600081</v>
      </c>
      <c r="D233" s="2">
        <v>77</v>
      </c>
    </row>
    <row r="234" spans="1:4" s="3" customFormat="1" ht="22.5" customHeight="1">
      <c r="A234" s="1" t="str">
        <f>"钟娟"</f>
        <v>钟娟</v>
      </c>
      <c r="B234" s="1" t="str">
        <f>"5860406022417"</f>
        <v>5860406022417</v>
      </c>
      <c r="C234" s="1" t="str">
        <f t="shared" si="9"/>
        <v>600081</v>
      </c>
      <c r="D234" s="2">
        <v>77.33</v>
      </c>
    </row>
    <row r="235" spans="1:4" s="3" customFormat="1" ht="22.5" customHeight="1">
      <c r="A235" s="1" t="str">
        <f>"邓天蓉"</f>
        <v>邓天蓉</v>
      </c>
      <c r="B235" s="1" t="str">
        <f>"5860406022324"</f>
        <v>5860406022324</v>
      </c>
      <c r="C235" s="1" t="str">
        <f t="shared" si="9"/>
        <v>600081</v>
      </c>
      <c r="D235" s="2">
        <v>78.67</v>
      </c>
    </row>
    <row r="236" spans="1:4" s="3" customFormat="1" ht="22.5" customHeight="1">
      <c r="A236" s="1" t="str">
        <f>"黄瑶"</f>
        <v>黄瑶</v>
      </c>
      <c r="B236" s="1" t="str">
        <f>"5860406022407"</f>
        <v>5860406022407</v>
      </c>
      <c r="C236" s="1" t="str">
        <f t="shared" si="9"/>
        <v>600081</v>
      </c>
      <c r="D236" s="2">
        <v>77.67</v>
      </c>
    </row>
    <row r="237" spans="1:4" s="3" customFormat="1" ht="22.5" customHeight="1">
      <c r="A237" s="1" t="str">
        <f>"杜春燕"</f>
        <v>杜春燕</v>
      </c>
      <c r="B237" s="1" t="str">
        <f>"5860406022424"</f>
        <v>5860406022424</v>
      </c>
      <c r="C237" s="1" t="str">
        <f t="shared" si="9"/>
        <v>600081</v>
      </c>
      <c r="D237" s="2">
        <v>82.33</v>
      </c>
    </row>
    <row r="238" spans="1:4" s="3" customFormat="1" ht="22.5" customHeight="1">
      <c r="A238" s="1" t="str">
        <f>"晏良英"</f>
        <v>晏良英</v>
      </c>
      <c r="B238" s="1" t="str">
        <f>"5860406022427"</f>
        <v>5860406022427</v>
      </c>
      <c r="C238" s="1" t="str">
        <f t="shared" si="9"/>
        <v>600081</v>
      </c>
      <c r="D238" s="2">
        <v>75.33</v>
      </c>
    </row>
    <row r="239" spans="1:4" s="3" customFormat="1" ht="22.5" customHeight="1">
      <c r="A239" s="1" t="str">
        <f>"刘双双"</f>
        <v>刘双双</v>
      </c>
      <c r="B239" s="1" t="str">
        <f>"5860406022411"</f>
        <v>5860406022411</v>
      </c>
      <c r="C239" s="1" t="str">
        <f t="shared" si="9"/>
        <v>600081</v>
      </c>
      <c r="D239" s="2">
        <v>80.33</v>
      </c>
    </row>
    <row r="240" spans="1:4" s="3" customFormat="1" ht="22.5" customHeight="1">
      <c r="A240" s="1" t="str">
        <f>"肖潇"</f>
        <v>肖潇</v>
      </c>
      <c r="B240" s="1" t="str">
        <f>"5860406010126"</f>
        <v>5860406010126</v>
      </c>
      <c r="C240" s="1" t="str">
        <f aca="true" t="shared" si="10" ref="C240:C245">"600001"</f>
        <v>600001</v>
      </c>
      <c r="D240" s="2">
        <v>85.47</v>
      </c>
    </row>
    <row r="241" spans="1:4" s="3" customFormat="1" ht="22.5" customHeight="1">
      <c r="A241" s="1" t="str">
        <f>"袁静"</f>
        <v>袁静</v>
      </c>
      <c r="B241" s="1" t="str">
        <f>"5860406010107"</f>
        <v>5860406010107</v>
      </c>
      <c r="C241" s="1" t="str">
        <f t="shared" si="10"/>
        <v>600001</v>
      </c>
      <c r="D241" s="2">
        <v>74.73</v>
      </c>
    </row>
    <row r="242" spans="1:4" s="3" customFormat="1" ht="22.5" customHeight="1">
      <c r="A242" s="1" t="str">
        <f>"陈红君"</f>
        <v>陈红君</v>
      </c>
      <c r="B242" s="1" t="str">
        <f>"5860406010118"</f>
        <v>5860406010118</v>
      </c>
      <c r="C242" s="1" t="str">
        <f t="shared" si="10"/>
        <v>600001</v>
      </c>
      <c r="D242" s="2">
        <v>84.4</v>
      </c>
    </row>
    <row r="243" spans="1:4" s="3" customFormat="1" ht="22.5" customHeight="1">
      <c r="A243" s="1" t="str">
        <f>"陈红"</f>
        <v>陈红</v>
      </c>
      <c r="B243" s="1" t="str">
        <f>"5860406010310"</f>
        <v>5860406010310</v>
      </c>
      <c r="C243" s="1" t="str">
        <f t="shared" si="10"/>
        <v>600001</v>
      </c>
      <c r="D243" s="2">
        <v>75.3</v>
      </c>
    </row>
    <row r="244" spans="1:4" s="3" customFormat="1" ht="22.5" customHeight="1">
      <c r="A244" s="1" t="str">
        <f>"李良琦"</f>
        <v>李良琦</v>
      </c>
      <c r="B244" s="1" t="str">
        <f>"5860406010111"</f>
        <v>5860406010111</v>
      </c>
      <c r="C244" s="1" t="str">
        <f t="shared" si="10"/>
        <v>600001</v>
      </c>
      <c r="D244" s="2">
        <v>77.27</v>
      </c>
    </row>
    <row r="245" spans="1:4" s="3" customFormat="1" ht="22.5" customHeight="1">
      <c r="A245" s="1" t="str">
        <f>"魏攀攀"</f>
        <v>魏攀攀</v>
      </c>
      <c r="B245" s="1" t="str">
        <f>"5860406010207"</f>
        <v>5860406010207</v>
      </c>
      <c r="C245" s="1" t="str">
        <f t="shared" si="10"/>
        <v>600001</v>
      </c>
      <c r="D245" s="2">
        <v>83.7</v>
      </c>
    </row>
    <row r="246" spans="1:4" s="3" customFormat="1" ht="22.5" customHeight="1">
      <c r="A246" s="1" t="str">
        <f>"吴旭林"</f>
        <v>吴旭林</v>
      </c>
      <c r="B246" s="1" t="str">
        <f>"5860406011821"</f>
        <v>5860406011821</v>
      </c>
      <c r="C246" s="1" t="str">
        <f>"600024"</f>
        <v>600024</v>
      </c>
      <c r="D246" s="2">
        <v>74.17</v>
      </c>
    </row>
    <row r="247" spans="1:4" s="3" customFormat="1" ht="22.5" customHeight="1">
      <c r="A247" s="1" t="str">
        <f>"杨傅捷"</f>
        <v>杨傅捷</v>
      </c>
      <c r="B247" s="1" t="str">
        <f>"5860406011819"</f>
        <v>5860406011819</v>
      </c>
      <c r="C247" s="1" t="str">
        <f>"600024"</f>
        <v>600024</v>
      </c>
      <c r="D247" s="2">
        <v>82.17</v>
      </c>
    </row>
    <row r="248" spans="1:4" s="3" customFormat="1" ht="22.5" customHeight="1">
      <c r="A248" s="1" t="str">
        <f>"周雪"</f>
        <v>周雪</v>
      </c>
      <c r="B248" s="1" t="str">
        <f>"5860406011820"</f>
        <v>5860406011820</v>
      </c>
      <c r="C248" s="1" t="str">
        <f>"600024"</f>
        <v>600024</v>
      </c>
      <c r="D248" s="2">
        <v>78</v>
      </c>
    </row>
    <row r="249" spans="1:4" s="3" customFormat="1" ht="22.5" customHeight="1">
      <c r="A249" s="1" t="s">
        <v>2</v>
      </c>
      <c r="B249" s="1" t="str">
        <f>"5860406011913"</f>
        <v>5860406011913</v>
      </c>
      <c r="C249" s="1" t="str">
        <f>"600037"</f>
        <v>600037</v>
      </c>
      <c r="D249" s="2">
        <v>79.5</v>
      </c>
    </row>
    <row r="250" spans="1:4" s="3" customFormat="1" ht="22.5" customHeight="1">
      <c r="A250" s="1" t="str">
        <f>"符攀"</f>
        <v>符攀</v>
      </c>
      <c r="B250" s="1" t="str">
        <f>"5860406011914"</f>
        <v>5860406011914</v>
      </c>
      <c r="C250" s="1" t="str">
        <f>"600037"</f>
        <v>600037</v>
      </c>
      <c r="D250" s="2">
        <v>81.33</v>
      </c>
    </row>
    <row r="251" spans="1:4" s="3" customFormat="1" ht="22.5" customHeight="1">
      <c r="A251" s="1" t="str">
        <f>"徐红"</f>
        <v>徐红</v>
      </c>
      <c r="B251" s="1" t="str">
        <f>"5860406011912"</f>
        <v>5860406011912</v>
      </c>
      <c r="C251" s="1" t="str">
        <f>"600037"</f>
        <v>600037</v>
      </c>
      <c r="D251" s="2">
        <v>67.17</v>
      </c>
    </row>
    <row r="252" spans="1:4" s="3" customFormat="1" ht="22.5" customHeight="1">
      <c r="A252" s="1" t="str">
        <f>"叶清华"</f>
        <v>叶清华</v>
      </c>
      <c r="B252" s="1" t="str">
        <f>"5860406013111"</f>
        <v>5860406013111</v>
      </c>
      <c r="C252" s="1" t="str">
        <f aca="true" t="shared" si="11" ref="C252:C259">"600062"</f>
        <v>600062</v>
      </c>
      <c r="D252" s="2">
        <v>70.33</v>
      </c>
    </row>
    <row r="253" spans="1:4" s="3" customFormat="1" ht="22.5" customHeight="1">
      <c r="A253" s="1" t="str">
        <f>"李桃"</f>
        <v>李桃</v>
      </c>
      <c r="B253" s="1" t="str">
        <f>"5860406013123"</f>
        <v>5860406013123</v>
      </c>
      <c r="C253" s="1" t="str">
        <f t="shared" si="11"/>
        <v>600062</v>
      </c>
      <c r="D253" s="2">
        <v>66.67</v>
      </c>
    </row>
    <row r="254" spans="1:4" s="3" customFormat="1" ht="22.5" customHeight="1">
      <c r="A254" s="1" t="str">
        <f>"郭金钟"</f>
        <v>郭金钟</v>
      </c>
      <c r="B254" s="1" t="str">
        <f>"5860406013127"</f>
        <v>5860406013127</v>
      </c>
      <c r="C254" s="1" t="str">
        <f t="shared" si="11"/>
        <v>600062</v>
      </c>
      <c r="D254" s="2">
        <v>68.83</v>
      </c>
    </row>
    <row r="255" spans="1:4" s="3" customFormat="1" ht="22.5" customHeight="1">
      <c r="A255" s="1" t="str">
        <f>"钟晓云"</f>
        <v>钟晓云</v>
      </c>
      <c r="B255" s="1" t="str">
        <f>"5860406013121"</f>
        <v>5860406013121</v>
      </c>
      <c r="C255" s="1" t="str">
        <f t="shared" si="11"/>
        <v>600062</v>
      </c>
      <c r="D255" s="2">
        <v>72.17</v>
      </c>
    </row>
    <row r="256" spans="1:4" s="3" customFormat="1" ht="22.5" customHeight="1">
      <c r="A256" s="1" t="str">
        <f>"任刚"</f>
        <v>任刚</v>
      </c>
      <c r="B256" s="1" t="str">
        <f>"5860406013110"</f>
        <v>5860406013110</v>
      </c>
      <c r="C256" s="1" t="str">
        <f t="shared" si="11"/>
        <v>600062</v>
      </c>
      <c r="D256" s="2" t="s">
        <v>0</v>
      </c>
    </row>
    <row r="257" spans="1:4" s="3" customFormat="1" ht="22.5" customHeight="1">
      <c r="A257" s="1" t="str">
        <f>"罗惠文"</f>
        <v>罗惠文</v>
      </c>
      <c r="B257" s="1" t="str">
        <f>"5860406013112"</f>
        <v>5860406013112</v>
      </c>
      <c r="C257" s="1" t="str">
        <f t="shared" si="11"/>
        <v>600062</v>
      </c>
      <c r="D257" s="2">
        <v>67.17</v>
      </c>
    </row>
    <row r="258" spans="1:4" s="3" customFormat="1" ht="22.5" customHeight="1">
      <c r="A258" s="1" t="str">
        <f>"陈勤为"</f>
        <v>陈勤为</v>
      </c>
      <c r="B258" s="1" t="str">
        <f>"5860406013201"</f>
        <v>5860406013201</v>
      </c>
      <c r="C258" s="1" t="str">
        <f t="shared" si="11"/>
        <v>600062</v>
      </c>
      <c r="D258" s="2" t="s">
        <v>0</v>
      </c>
    </row>
    <row r="259" spans="1:4" s="3" customFormat="1" ht="22.5" customHeight="1">
      <c r="A259" s="1" t="str">
        <f>"赵李莉"</f>
        <v>赵李莉</v>
      </c>
      <c r="B259" s="1" t="str">
        <f>"5860406013114"</f>
        <v>5860406013114</v>
      </c>
      <c r="C259" s="1" t="str">
        <f t="shared" si="11"/>
        <v>600062</v>
      </c>
      <c r="D259" s="2">
        <v>68.33</v>
      </c>
    </row>
    <row r="260" spans="1:4" s="3" customFormat="1" ht="22.5" customHeight="1">
      <c r="A260" s="1" t="str">
        <f>"项能琴"</f>
        <v>项能琴</v>
      </c>
      <c r="B260" s="1" t="str">
        <f>"5860406022513"</f>
        <v>5860406022513</v>
      </c>
      <c r="C260" s="1" t="str">
        <f aca="true" t="shared" si="12" ref="C260:C285">"600082"</f>
        <v>600082</v>
      </c>
      <c r="D260" s="2">
        <v>78.43</v>
      </c>
    </row>
    <row r="261" spans="1:4" s="3" customFormat="1" ht="22.5" customHeight="1">
      <c r="A261" s="1" t="str">
        <f>"易凤琼"</f>
        <v>易凤琼</v>
      </c>
      <c r="B261" s="1" t="str">
        <f>"5860406022616"</f>
        <v>5860406022616</v>
      </c>
      <c r="C261" s="1" t="str">
        <f t="shared" si="12"/>
        <v>600082</v>
      </c>
      <c r="D261" s="2">
        <v>82.2</v>
      </c>
    </row>
    <row r="262" spans="1:4" s="3" customFormat="1" ht="22.5" customHeight="1">
      <c r="A262" s="1" t="str">
        <f>"罗慧月"</f>
        <v>罗慧月</v>
      </c>
      <c r="B262" s="1" t="str">
        <f>"5860406022509"</f>
        <v>5860406022509</v>
      </c>
      <c r="C262" s="1" t="str">
        <f t="shared" si="12"/>
        <v>600082</v>
      </c>
      <c r="D262" s="2">
        <v>83.63</v>
      </c>
    </row>
    <row r="263" spans="1:4" s="3" customFormat="1" ht="22.5" customHeight="1">
      <c r="A263" s="1" t="str">
        <f>"汤洁"</f>
        <v>汤洁</v>
      </c>
      <c r="B263" s="1" t="str">
        <f>"5860406022528"</f>
        <v>5860406022528</v>
      </c>
      <c r="C263" s="1" t="str">
        <f t="shared" si="12"/>
        <v>600082</v>
      </c>
      <c r="D263" s="2">
        <v>83.43</v>
      </c>
    </row>
    <row r="264" spans="1:4" s="3" customFormat="1" ht="22.5" customHeight="1">
      <c r="A264" s="1" t="str">
        <f>"卢小丽"</f>
        <v>卢小丽</v>
      </c>
      <c r="B264" s="1" t="str">
        <f>"5860406022511"</f>
        <v>5860406022511</v>
      </c>
      <c r="C264" s="1" t="str">
        <f t="shared" si="12"/>
        <v>600082</v>
      </c>
      <c r="D264" s="2">
        <v>83.87</v>
      </c>
    </row>
    <row r="265" spans="1:4" s="3" customFormat="1" ht="22.5" customHeight="1">
      <c r="A265" s="1" t="str">
        <f>"刘红"</f>
        <v>刘红</v>
      </c>
      <c r="B265" s="1" t="str">
        <f>"5860406022614"</f>
        <v>5860406022614</v>
      </c>
      <c r="C265" s="1" t="str">
        <f t="shared" si="12"/>
        <v>600082</v>
      </c>
      <c r="D265" s="2">
        <v>81.3</v>
      </c>
    </row>
    <row r="266" spans="1:4" s="3" customFormat="1" ht="22.5" customHeight="1">
      <c r="A266" s="1" t="str">
        <f>"谢洪霞"</f>
        <v>谢洪霞</v>
      </c>
      <c r="B266" s="1" t="str">
        <f>"5860406022515"</f>
        <v>5860406022515</v>
      </c>
      <c r="C266" s="1" t="str">
        <f t="shared" si="12"/>
        <v>600082</v>
      </c>
      <c r="D266" s="2">
        <v>82.6</v>
      </c>
    </row>
    <row r="267" spans="1:4" s="3" customFormat="1" ht="22.5" customHeight="1">
      <c r="A267" s="1" t="str">
        <f>"黄燕"</f>
        <v>黄燕</v>
      </c>
      <c r="B267" s="1" t="str">
        <f>"5860406022520"</f>
        <v>5860406022520</v>
      </c>
      <c r="C267" s="1" t="str">
        <f t="shared" si="12"/>
        <v>600082</v>
      </c>
      <c r="D267" s="2">
        <v>79.73</v>
      </c>
    </row>
    <row r="268" spans="1:4" s="3" customFormat="1" ht="22.5" customHeight="1">
      <c r="A268" s="1" t="str">
        <f>"陈一萍"</f>
        <v>陈一萍</v>
      </c>
      <c r="B268" s="1" t="str">
        <f>"5860406022618"</f>
        <v>5860406022618</v>
      </c>
      <c r="C268" s="1" t="str">
        <f t="shared" si="12"/>
        <v>600082</v>
      </c>
      <c r="D268" s="2">
        <v>78.87</v>
      </c>
    </row>
    <row r="269" spans="1:4" s="3" customFormat="1" ht="22.5" customHeight="1">
      <c r="A269" s="1" t="str">
        <f>"刘媛媛"</f>
        <v>刘媛媛</v>
      </c>
      <c r="B269" s="1" t="str">
        <f>"5860406022621"</f>
        <v>5860406022621</v>
      </c>
      <c r="C269" s="1" t="str">
        <f t="shared" si="12"/>
        <v>600082</v>
      </c>
      <c r="D269" s="2">
        <v>84</v>
      </c>
    </row>
    <row r="270" spans="1:4" s="3" customFormat="1" ht="22.5" customHeight="1">
      <c r="A270" s="1" t="str">
        <f>"陈东"</f>
        <v>陈东</v>
      </c>
      <c r="B270" s="1" t="str">
        <f>"5860406022612"</f>
        <v>5860406022612</v>
      </c>
      <c r="C270" s="1" t="str">
        <f t="shared" si="12"/>
        <v>600082</v>
      </c>
      <c r="D270" s="2">
        <v>69.83</v>
      </c>
    </row>
    <row r="271" spans="1:4" s="3" customFormat="1" ht="22.5" customHeight="1">
      <c r="A271" s="1" t="str">
        <f>"苏晓林"</f>
        <v>苏晓林</v>
      </c>
      <c r="B271" s="1" t="str">
        <f>"5860406022529"</f>
        <v>5860406022529</v>
      </c>
      <c r="C271" s="1" t="str">
        <f t="shared" si="12"/>
        <v>600082</v>
      </c>
      <c r="D271" s="2">
        <v>67.7</v>
      </c>
    </row>
    <row r="272" spans="1:4" s="3" customFormat="1" ht="22.5" customHeight="1">
      <c r="A272" s="1" t="str">
        <f>"谢艳琼"</f>
        <v>谢艳琼</v>
      </c>
      <c r="B272" s="1" t="str">
        <f>"5860406022530"</f>
        <v>5860406022530</v>
      </c>
      <c r="C272" s="1" t="str">
        <f t="shared" si="12"/>
        <v>600082</v>
      </c>
      <c r="D272" s="2">
        <v>76.57</v>
      </c>
    </row>
    <row r="273" spans="1:4" s="3" customFormat="1" ht="22.5" customHeight="1">
      <c r="A273" s="1" t="str">
        <f>"黄镜"</f>
        <v>黄镜</v>
      </c>
      <c r="B273" s="1" t="str">
        <f>"5860406022624"</f>
        <v>5860406022624</v>
      </c>
      <c r="C273" s="1" t="str">
        <f t="shared" si="12"/>
        <v>600082</v>
      </c>
      <c r="D273" s="2">
        <v>78.1</v>
      </c>
    </row>
    <row r="274" spans="1:4" s="3" customFormat="1" ht="22.5" customHeight="1">
      <c r="A274" s="1" t="str">
        <f>"王玥欢"</f>
        <v>王玥欢</v>
      </c>
      <c r="B274" s="1" t="str">
        <f>"5860406022506"</f>
        <v>5860406022506</v>
      </c>
      <c r="C274" s="1" t="str">
        <f t="shared" si="12"/>
        <v>600082</v>
      </c>
      <c r="D274" s="2">
        <v>73.87</v>
      </c>
    </row>
    <row r="275" spans="1:4" s="3" customFormat="1" ht="22.5" customHeight="1">
      <c r="A275" s="1" t="str">
        <f>"欧园雪"</f>
        <v>欧园雪</v>
      </c>
      <c r="B275" s="1" t="str">
        <f>"5860406022508"</f>
        <v>5860406022508</v>
      </c>
      <c r="C275" s="1" t="str">
        <f t="shared" si="12"/>
        <v>600082</v>
      </c>
      <c r="D275" s="2">
        <v>80.83</v>
      </c>
    </row>
    <row r="276" spans="1:4" s="3" customFormat="1" ht="22.5" customHeight="1">
      <c r="A276" s="1" t="str">
        <f>"郑红莲"</f>
        <v>郑红莲</v>
      </c>
      <c r="B276" s="1" t="str">
        <f>"5860406022602"</f>
        <v>5860406022602</v>
      </c>
      <c r="C276" s="1" t="str">
        <f t="shared" si="12"/>
        <v>600082</v>
      </c>
      <c r="D276" s="2">
        <v>79.77</v>
      </c>
    </row>
    <row r="277" spans="1:4" s="3" customFormat="1" ht="22.5" customHeight="1">
      <c r="A277" s="1" t="str">
        <f>"李姣姣"</f>
        <v>李姣姣</v>
      </c>
      <c r="B277" s="1" t="str">
        <f>"5860406022507"</f>
        <v>5860406022507</v>
      </c>
      <c r="C277" s="1" t="str">
        <f t="shared" si="12"/>
        <v>600082</v>
      </c>
      <c r="D277" s="2">
        <v>79.07</v>
      </c>
    </row>
    <row r="278" spans="1:4" s="3" customFormat="1" ht="22.5" customHeight="1">
      <c r="A278" s="1" t="str">
        <f>"陈俊童"</f>
        <v>陈俊童</v>
      </c>
      <c r="B278" s="1" t="str">
        <f>"5860406022524"</f>
        <v>5860406022524</v>
      </c>
      <c r="C278" s="1" t="str">
        <f t="shared" si="12"/>
        <v>600082</v>
      </c>
      <c r="D278" s="2">
        <v>83.13</v>
      </c>
    </row>
    <row r="279" spans="1:4" s="3" customFormat="1" ht="22.5" customHeight="1">
      <c r="A279" s="1" t="str">
        <f>"唐建国"</f>
        <v>唐建国</v>
      </c>
      <c r="B279" s="1" t="str">
        <f>"5860406022522"</f>
        <v>5860406022522</v>
      </c>
      <c r="C279" s="1" t="str">
        <f t="shared" si="12"/>
        <v>600082</v>
      </c>
      <c r="D279" s="2">
        <v>76.33</v>
      </c>
    </row>
    <row r="280" spans="1:4" s="3" customFormat="1" ht="22.5" customHeight="1">
      <c r="A280" s="1" t="str">
        <f>"黄渝"</f>
        <v>黄渝</v>
      </c>
      <c r="B280" s="1" t="str">
        <f>"5860406022630"</f>
        <v>5860406022630</v>
      </c>
      <c r="C280" s="1" t="str">
        <f t="shared" si="12"/>
        <v>600082</v>
      </c>
      <c r="D280" s="2">
        <v>83.27</v>
      </c>
    </row>
    <row r="281" spans="1:4" s="3" customFormat="1" ht="22.5" customHeight="1">
      <c r="A281" s="1" t="str">
        <f>"曾霞"</f>
        <v>曾霞</v>
      </c>
      <c r="B281" s="1" t="str">
        <f>"5860406022512"</f>
        <v>5860406022512</v>
      </c>
      <c r="C281" s="1" t="str">
        <f t="shared" si="12"/>
        <v>600082</v>
      </c>
      <c r="D281" s="2">
        <v>82.1</v>
      </c>
    </row>
    <row r="282" spans="1:4" s="3" customFormat="1" ht="22.5" customHeight="1">
      <c r="A282" s="1" t="str">
        <f>"罗瑶"</f>
        <v>罗瑶</v>
      </c>
      <c r="B282" s="1" t="str">
        <f>"5860406022613"</f>
        <v>5860406022613</v>
      </c>
      <c r="C282" s="1" t="str">
        <f t="shared" si="12"/>
        <v>600082</v>
      </c>
      <c r="D282" s="2">
        <v>84.17</v>
      </c>
    </row>
    <row r="283" spans="1:4" s="3" customFormat="1" ht="22.5" customHeight="1">
      <c r="A283" s="1" t="str">
        <f>"曹馨心"</f>
        <v>曹馨心</v>
      </c>
      <c r="B283" s="1" t="str">
        <f>"5860406022603"</f>
        <v>5860406022603</v>
      </c>
      <c r="C283" s="1" t="str">
        <f t="shared" si="12"/>
        <v>600082</v>
      </c>
      <c r="D283" s="2">
        <v>76.47</v>
      </c>
    </row>
    <row r="284" spans="1:4" s="3" customFormat="1" ht="22.5" customHeight="1">
      <c r="A284" s="1" t="str">
        <f>"王朝霞"</f>
        <v>王朝霞</v>
      </c>
      <c r="B284" s="1" t="str">
        <f>"5860406022527"</f>
        <v>5860406022527</v>
      </c>
      <c r="C284" s="1" t="str">
        <f t="shared" si="12"/>
        <v>600082</v>
      </c>
      <c r="D284" s="2">
        <v>74.97</v>
      </c>
    </row>
    <row r="285" spans="1:4" s="3" customFormat="1" ht="22.5" customHeight="1">
      <c r="A285" s="1" t="str">
        <f>"刘于铃"</f>
        <v>刘于铃</v>
      </c>
      <c r="B285" s="1" t="str">
        <f>"5860406022617"</f>
        <v>5860406022617</v>
      </c>
      <c r="C285" s="1" t="str">
        <f t="shared" si="12"/>
        <v>600082</v>
      </c>
      <c r="D285" s="2">
        <v>77.77</v>
      </c>
    </row>
    <row r="286" spans="1:4" s="3" customFormat="1" ht="22.5" customHeight="1">
      <c r="A286" s="1" t="str">
        <f>"王杰"</f>
        <v>王杰</v>
      </c>
      <c r="B286" s="1" t="str">
        <f>"5860406022708"</f>
        <v>5860406022708</v>
      </c>
      <c r="C286" s="1" t="str">
        <f aca="true" t="shared" si="13" ref="C286:C308">"600083"</f>
        <v>600083</v>
      </c>
      <c r="D286" s="2">
        <v>80.67</v>
      </c>
    </row>
    <row r="287" spans="1:4" s="3" customFormat="1" ht="22.5" customHeight="1">
      <c r="A287" s="1" t="str">
        <f>"饶秀萍"</f>
        <v>饶秀萍</v>
      </c>
      <c r="B287" s="1" t="str">
        <f>"5860406022730"</f>
        <v>5860406022730</v>
      </c>
      <c r="C287" s="1" t="str">
        <f t="shared" si="13"/>
        <v>600083</v>
      </c>
      <c r="D287" s="2">
        <v>80</v>
      </c>
    </row>
    <row r="288" spans="1:4" s="3" customFormat="1" ht="22.5" customHeight="1">
      <c r="A288" s="1" t="str">
        <f>"张琴"</f>
        <v>张琴</v>
      </c>
      <c r="B288" s="1" t="str">
        <f>"5860406022711"</f>
        <v>5860406022711</v>
      </c>
      <c r="C288" s="1" t="str">
        <f t="shared" si="13"/>
        <v>600083</v>
      </c>
      <c r="D288" s="2">
        <v>80.33</v>
      </c>
    </row>
    <row r="289" spans="1:4" s="3" customFormat="1" ht="22.5" customHeight="1">
      <c r="A289" s="1" t="str">
        <f>"刘瑶"</f>
        <v>刘瑶</v>
      </c>
      <c r="B289" s="1" t="str">
        <f>"5860406022720"</f>
        <v>5860406022720</v>
      </c>
      <c r="C289" s="1" t="str">
        <f t="shared" si="13"/>
        <v>600083</v>
      </c>
      <c r="D289" s="2">
        <v>79.33</v>
      </c>
    </row>
    <row r="290" spans="1:4" s="3" customFormat="1" ht="22.5" customHeight="1">
      <c r="A290" s="1" t="str">
        <f>"贾媛媛"</f>
        <v>贾媛媛</v>
      </c>
      <c r="B290" s="1" t="str">
        <f>"5860406022807"</f>
        <v>5860406022807</v>
      </c>
      <c r="C290" s="1" t="str">
        <f t="shared" si="13"/>
        <v>600083</v>
      </c>
      <c r="D290" s="2">
        <v>86.5</v>
      </c>
    </row>
    <row r="291" spans="1:4" s="3" customFormat="1" ht="22.5" customHeight="1">
      <c r="A291" s="1" t="str">
        <f>"宋燕燕"</f>
        <v>宋燕燕</v>
      </c>
      <c r="B291" s="1" t="str">
        <f>"5860406022707"</f>
        <v>5860406022707</v>
      </c>
      <c r="C291" s="1" t="str">
        <f t="shared" si="13"/>
        <v>600083</v>
      </c>
      <c r="D291" s="2">
        <v>79.33</v>
      </c>
    </row>
    <row r="292" spans="1:4" s="3" customFormat="1" ht="22.5" customHeight="1">
      <c r="A292" s="1" t="str">
        <f>"王星二"</f>
        <v>王星二</v>
      </c>
      <c r="B292" s="1" t="str">
        <f>"5860406022713"</f>
        <v>5860406022713</v>
      </c>
      <c r="C292" s="1" t="str">
        <f t="shared" si="13"/>
        <v>600083</v>
      </c>
      <c r="D292" s="2">
        <v>80.33</v>
      </c>
    </row>
    <row r="293" spans="1:4" s="3" customFormat="1" ht="22.5" customHeight="1">
      <c r="A293" s="1" t="str">
        <f>"向仕琦"</f>
        <v>向仕琦</v>
      </c>
      <c r="B293" s="1" t="str">
        <f>"5860406022806"</f>
        <v>5860406022806</v>
      </c>
      <c r="C293" s="1" t="str">
        <f t="shared" si="13"/>
        <v>600083</v>
      </c>
      <c r="D293" s="2">
        <v>79.17</v>
      </c>
    </row>
    <row r="294" spans="1:4" s="3" customFormat="1" ht="22.5" customHeight="1">
      <c r="A294" s="1" t="str">
        <f>"叶涛"</f>
        <v>叶涛</v>
      </c>
      <c r="B294" s="1" t="str">
        <f>"5860406022718"</f>
        <v>5860406022718</v>
      </c>
      <c r="C294" s="1" t="str">
        <f t="shared" si="13"/>
        <v>600083</v>
      </c>
      <c r="D294" s="2">
        <v>83.67</v>
      </c>
    </row>
    <row r="295" spans="1:4" s="3" customFormat="1" ht="22.5" customHeight="1">
      <c r="A295" s="1" t="str">
        <f>"马光明"</f>
        <v>马光明</v>
      </c>
      <c r="B295" s="1" t="str">
        <f>"5860406022801"</f>
        <v>5860406022801</v>
      </c>
      <c r="C295" s="1" t="str">
        <f t="shared" si="13"/>
        <v>600083</v>
      </c>
      <c r="D295" s="2">
        <v>59.67</v>
      </c>
    </row>
    <row r="296" spans="1:4" s="3" customFormat="1" ht="22.5" customHeight="1">
      <c r="A296" s="1" t="str">
        <f>"闫春兰"</f>
        <v>闫春兰</v>
      </c>
      <c r="B296" s="1" t="str">
        <f>"5860406022805"</f>
        <v>5860406022805</v>
      </c>
      <c r="C296" s="1" t="str">
        <f t="shared" si="13"/>
        <v>600083</v>
      </c>
      <c r="D296" s="2">
        <v>76.67</v>
      </c>
    </row>
    <row r="297" spans="1:4" s="3" customFormat="1" ht="22.5" customHeight="1">
      <c r="A297" s="1" t="str">
        <f>"张甜"</f>
        <v>张甜</v>
      </c>
      <c r="B297" s="1" t="str">
        <f>"5860406022709"</f>
        <v>5860406022709</v>
      </c>
      <c r="C297" s="1" t="str">
        <f t="shared" si="13"/>
        <v>600083</v>
      </c>
      <c r="D297" s="2">
        <v>83.83</v>
      </c>
    </row>
    <row r="298" spans="1:4" s="3" customFormat="1" ht="22.5" customHeight="1">
      <c r="A298" s="1" t="str">
        <f>"唐于洁"</f>
        <v>唐于洁</v>
      </c>
      <c r="B298" s="1" t="str">
        <f>"5860406022727"</f>
        <v>5860406022727</v>
      </c>
      <c r="C298" s="1" t="str">
        <f t="shared" si="13"/>
        <v>600083</v>
      </c>
      <c r="D298" s="2">
        <v>79.67</v>
      </c>
    </row>
    <row r="299" spans="1:4" s="3" customFormat="1" ht="22.5" customHeight="1">
      <c r="A299" s="1" t="str">
        <f>"周美伶"</f>
        <v>周美伶</v>
      </c>
      <c r="B299" s="1" t="str">
        <f>"5860406022728"</f>
        <v>5860406022728</v>
      </c>
      <c r="C299" s="1" t="str">
        <f t="shared" si="13"/>
        <v>600083</v>
      </c>
      <c r="D299" s="2">
        <v>82</v>
      </c>
    </row>
    <row r="300" spans="1:4" s="3" customFormat="1" ht="22.5" customHeight="1">
      <c r="A300" s="1" t="str">
        <f>"赵冬梅"</f>
        <v>赵冬梅</v>
      </c>
      <c r="B300" s="1" t="str">
        <f>"5860406022714"</f>
        <v>5860406022714</v>
      </c>
      <c r="C300" s="1" t="str">
        <f t="shared" si="13"/>
        <v>600083</v>
      </c>
      <c r="D300" s="2">
        <v>59.33</v>
      </c>
    </row>
    <row r="301" spans="1:4" s="3" customFormat="1" ht="22.5" customHeight="1">
      <c r="A301" s="1" t="str">
        <f>"梅馨文"</f>
        <v>梅馨文</v>
      </c>
      <c r="B301" s="1" t="str">
        <f>"5860406022715"</f>
        <v>5860406022715</v>
      </c>
      <c r="C301" s="1" t="str">
        <f t="shared" si="13"/>
        <v>600083</v>
      </c>
      <c r="D301" s="2" t="s">
        <v>0</v>
      </c>
    </row>
    <row r="302" spans="1:4" s="3" customFormat="1" ht="22.5" customHeight="1">
      <c r="A302" s="1" t="str">
        <f>"赵力漩"</f>
        <v>赵力漩</v>
      </c>
      <c r="B302" s="1" t="str">
        <f>"5860406022706"</f>
        <v>5860406022706</v>
      </c>
      <c r="C302" s="1" t="str">
        <f t="shared" si="13"/>
        <v>600083</v>
      </c>
      <c r="D302" s="2" t="s">
        <v>0</v>
      </c>
    </row>
    <row r="303" spans="1:4" s="3" customFormat="1" ht="22.5" customHeight="1">
      <c r="A303" s="1" t="str">
        <f>"任丽娟"</f>
        <v>任丽娟</v>
      </c>
      <c r="B303" s="1" t="str">
        <f>"5860406022719"</f>
        <v>5860406022719</v>
      </c>
      <c r="C303" s="1" t="str">
        <f t="shared" si="13"/>
        <v>600083</v>
      </c>
      <c r="D303" s="2" t="s">
        <v>0</v>
      </c>
    </row>
    <row r="304" spans="1:4" s="3" customFormat="1" ht="22.5" customHeight="1">
      <c r="A304" s="1" t="str">
        <f>"赖德霜"</f>
        <v>赖德霜</v>
      </c>
      <c r="B304" s="1" t="str">
        <f>"5860406022725"</f>
        <v>5860406022725</v>
      </c>
      <c r="C304" s="1" t="str">
        <f t="shared" si="13"/>
        <v>600083</v>
      </c>
      <c r="D304" s="2">
        <v>75</v>
      </c>
    </row>
    <row r="305" spans="1:4" s="3" customFormat="1" ht="22.5" customHeight="1">
      <c r="A305" s="1" t="str">
        <f>"马国庆"</f>
        <v>马国庆</v>
      </c>
      <c r="B305" s="1" t="str">
        <f>"5860406022712"</f>
        <v>5860406022712</v>
      </c>
      <c r="C305" s="1" t="str">
        <f t="shared" si="13"/>
        <v>600083</v>
      </c>
      <c r="D305" s="2">
        <v>78.33</v>
      </c>
    </row>
    <row r="306" spans="1:4" s="3" customFormat="1" ht="22.5" customHeight="1">
      <c r="A306" s="1" t="str">
        <f>"黎洪伍"</f>
        <v>黎洪伍</v>
      </c>
      <c r="B306" s="1" t="str">
        <f>"5860406022717"</f>
        <v>5860406022717</v>
      </c>
      <c r="C306" s="1" t="str">
        <f t="shared" si="13"/>
        <v>600083</v>
      </c>
      <c r="D306" s="2" t="s">
        <v>0</v>
      </c>
    </row>
    <row r="307" spans="1:4" s="3" customFormat="1" ht="22.5" customHeight="1">
      <c r="A307" s="1" t="str">
        <f>"杨婷"</f>
        <v>杨婷</v>
      </c>
      <c r="B307" s="1" t="str">
        <f>"5860406022726"</f>
        <v>5860406022726</v>
      </c>
      <c r="C307" s="1" t="str">
        <f t="shared" si="13"/>
        <v>600083</v>
      </c>
      <c r="D307" s="2" t="s">
        <v>0</v>
      </c>
    </row>
    <row r="308" spans="1:4" s="3" customFormat="1" ht="22.5" customHeight="1">
      <c r="A308" s="1" t="str">
        <f>"郭川莲"</f>
        <v>郭川莲</v>
      </c>
      <c r="B308" s="1" t="str">
        <f>"5860406022704"</f>
        <v>5860406022704</v>
      </c>
      <c r="C308" s="1" t="str">
        <f t="shared" si="13"/>
        <v>600083</v>
      </c>
      <c r="D308" s="2">
        <v>75</v>
      </c>
    </row>
    <row r="309" spans="1:4" s="3" customFormat="1" ht="22.5" customHeight="1">
      <c r="A309" s="1" t="str">
        <f>"杨娜"</f>
        <v>杨娜</v>
      </c>
      <c r="B309" s="1" t="str">
        <f>"5860406022816"</f>
        <v>5860406022816</v>
      </c>
      <c r="C309" s="1" t="str">
        <f aca="true" t="shared" si="14" ref="C309:C342">"600084"</f>
        <v>600084</v>
      </c>
      <c r="D309" s="2">
        <v>78.57</v>
      </c>
    </row>
    <row r="310" spans="1:4" s="3" customFormat="1" ht="22.5" customHeight="1">
      <c r="A310" s="1" t="str">
        <f>"杨德志"</f>
        <v>杨德志</v>
      </c>
      <c r="B310" s="1" t="str">
        <f>"5860406022819"</f>
        <v>5860406022819</v>
      </c>
      <c r="C310" s="1" t="str">
        <f t="shared" si="14"/>
        <v>600084</v>
      </c>
      <c r="D310" s="2">
        <v>83.17</v>
      </c>
    </row>
    <row r="311" spans="1:4" s="3" customFormat="1" ht="22.5" customHeight="1">
      <c r="A311" s="1" t="str">
        <f>"王玮琳"</f>
        <v>王玮琳</v>
      </c>
      <c r="B311" s="1" t="str">
        <f>"5860406022922"</f>
        <v>5860406022922</v>
      </c>
      <c r="C311" s="1" t="str">
        <f t="shared" si="14"/>
        <v>600084</v>
      </c>
      <c r="D311" s="2">
        <v>79.83</v>
      </c>
    </row>
    <row r="312" spans="1:4" s="3" customFormat="1" ht="22.5" customHeight="1">
      <c r="A312" s="1" t="str">
        <f>"唐跃菡"</f>
        <v>唐跃菡</v>
      </c>
      <c r="B312" s="1" t="str">
        <f>"5860406022902"</f>
        <v>5860406022902</v>
      </c>
      <c r="C312" s="1" t="str">
        <f t="shared" si="14"/>
        <v>600084</v>
      </c>
      <c r="D312" s="2">
        <v>83.83</v>
      </c>
    </row>
    <row r="313" spans="1:4" s="3" customFormat="1" ht="22.5" customHeight="1">
      <c r="A313" s="1" t="str">
        <f>"陈松"</f>
        <v>陈松</v>
      </c>
      <c r="B313" s="1" t="str">
        <f>"5860406022910"</f>
        <v>5860406022910</v>
      </c>
      <c r="C313" s="1" t="str">
        <f t="shared" si="14"/>
        <v>600084</v>
      </c>
      <c r="D313" s="2">
        <v>77.53</v>
      </c>
    </row>
    <row r="314" spans="1:4" s="3" customFormat="1" ht="22.5" customHeight="1">
      <c r="A314" s="1" t="str">
        <f>"刘康"</f>
        <v>刘康</v>
      </c>
      <c r="B314" s="1" t="str">
        <f>"5860406022913"</f>
        <v>5860406022913</v>
      </c>
      <c r="C314" s="1" t="str">
        <f t="shared" si="14"/>
        <v>600084</v>
      </c>
      <c r="D314" s="2">
        <v>82.73</v>
      </c>
    </row>
    <row r="315" spans="1:4" s="3" customFormat="1" ht="22.5" customHeight="1">
      <c r="A315" s="1" t="str">
        <f>"张绪燕"</f>
        <v>张绪燕</v>
      </c>
      <c r="B315" s="1" t="str">
        <f>"5860406022812"</f>
        <v>5860406022812</v>
      </c>
      <c r="C315" s="1" t="str">
        <f t="shared" si="14"/>
        <v>600084</v>
      </c>
      <c r="D315" s="2">
        <v>84</v>
      </c>
    </row>
    <row r="316" spans="1:4" s="3" customFormat="1" ht="22.5" customHeight="1">
      <c r="A316" s="1" t="str">
        <f>"蔡琴"</f>
        <v>蔡琴</v>
      </c>
      <c r="B316" s="1" t="str">
        <f>"5860406022822"</f>
        <v>5860406022822</v>
      </c>
      <c r="C316" s="1" t="str">
        <f t="shared" si="14"/>
        <v>600084</v>
      </c>
      <c r="D316" s="2" t="s">
        <v>0</v>
      </c>
    </row>
    <row r="317" spans="1:4" s="3" customFormat="1" ht="22.5" customHeight="1">
      <c r="A317" s="1" t="str">
        <f>"谷丹"</f>
        <v>谷丹</v>
      </c>
      <c r="B317" s="1" t="str">
        <f>"5860406022827"</f>
        <v>5860406022827</v>
      </c>
      <c r="C317" s="1" t="str">
        <f t="shared" si="14"/>
        <v>600084</v>
      </c>
      <c r="D317" s="2">
        <v>82.7</v>
      </c>
    </row>
    <row r="318" spans="1:4" s="3" customFormat="1" ht="22.5" customHeight="1">
      <c r="A318" s="1" t="str">
        <f>"郭婷"</f>
        <v>郭婷</v>
      </c>
      <c r="B318" s="1" t="str">
        <f>"5860406022912"</f>
        <v>5860406022912</v>
      </c>
      <c r="C318" s="1" t="str">
        <f t="shared" si="14"/>
        <v>600084</v>
      </c>
      <c r="D318" s="2">
        <v>78.77</v>
      </c>
    </row>
    <row r="319" spans="1:4" s="3" customFormat="1" ht="22.5" customHeight="1">
      <c r="A319" s="1" t="str">
        <f>"杨锦"</f>
        <v>杨锦</v>
      </c>
      <c r="B319" s="1" t="str">
        <f>"5860406022814"</f>
        <v>5860406022814</v>
      </c>
      <c r="C319" s="1" t="str">
        <f t="shared" si="14"/>
        <v>600084</v>
      </c>
      <c r="D319" s="2">
        <v>84.7</v>
      </c>
    </row>
    <row r="320" spans="1:4" s="3" customFormat="1" ht="22.5" customHeight="1">
      <c r="A320" s="1" t="str">
        <f>"徐行"</f>
        <v>徐行</v>
      </c>
      <c r="B320" s="1" t="str">
        <f>"5860406022818"</f>
        <v>5860406022818</v>
      </c>
      <c r="C320" s="1" t="str">
        <f t="shared" si="14"/>
        <v>600084</v>
      </c>
      <c r="D320" s="2">
        <v>82.57</v>
      </c>
    </row>
    <row r="321" spans="1:4" s="3" customFormat="1" ht="22.5" customHeight="1">
      <c r="A321" s="1" t="str">
        <f>"舒琳"</f>
        <v>舒琳</v>
      </c>
      <c r="B321" s="1" t="str">
        <f>"5860406022926"</f>
        <v>5860406022926</v>
      </c>
      <c r="C321" s="1" t="str">
        <f t="shared" si="14"/>
        <v>600084</v>
      </c>
      <c r="D321" s="2">
        <v>88.03</v>
      </c>
    </row>
    <row r="322" spans="1:4" s="3" customFormat="1" ht="22.5" customHeight="1">
      <c r="A322" s="1" t="str">
        <f>"乐青青"</f>
        <v>乐青青</v>
      </c>
      <c r="B322" s="1" t="str">
        <f>"5860406022830"</f>
        <v>5860406022830</v>
      </c>
      <c r="C322" s="1" t="str">
        <f t="shared" si="14"/>
        <v>600084</v>
      </c>
      <c r="D322" s="2">
        <v>81.63</v>
      </c>
    </row>
    <row r="323" spans="1:4" s="3" customFormat="1" ht="22.5" customHeight="1">
      <c r="A323" s="1" t="str">
        <f>"吴钱梅"</f>
        <v>吴钱梅</v>
      </c>
      <c r="B323" s="1" t="str">
        <f>"5860406022917"</f>
        <v>5860406022917</v>
      </c>
      <c r="C323" s="1" t="str">
        <f t="shared" si="14"/>
        <v>600084</v>
      </c>
      <c r="D323" s="2">
        <v>84.07</v>
      </c>
    </row>
    <row r="324" spans="1:4" s="3" customFormat="1" ht="22.5" customHeight="1">
      <c r="A324" s="1" t="str">
        <f>"赵娜"</f>
        <v>赵娜</v>
      </c>
      <c r="B324" s="1" t="str">
        <f>"5860406022920"</f>
        <v>5860406022920</v>
      </c>
      <c r="C324" s="1" t="str">
        <f t="shared" si="14"/>
        <v>600084</v>
      </c>
      <c r="D324" s="2">
        <v>81.43</v>
      </c>
    </row>
    <row r="325" spans="1:4" s="3" customFormat="1" ht="22.5" customHeight="1">
      <c r="A325" s="1" t="str">
        <f>"沈思捷"</f>
        <v>沈思捷</v>
      </c>
      <c r="B325" s="1" t="str">
        <f>"5860406022901"</f>
        <v>5860406022901</v>
      </c>
      <c r="C325" s="1" t="str">
        <f t="shared" si="14"/>
        <v>600084</v>
      </c>
      <c r="D325" s="2">
        <v>78.77</v>
      </c>
    </row>
    <row r="326" spans="1:4" s="3" customFormat="1" ht="22.5" customHeight="1">
      <c r="A326" s="1" t="str">
        <f>"何春梅"</f>
        <v>何春梅</v>
      </c>
      <c r="B326" s="1" t="str">
        <f>"5860406022906"</f>
        <v>5860406022906</v>
      </c>
      <c r="C326" s="1" t="str">
        <f t="shared" si="14"/>
        <v>600084</v>
      </c>
      <c r="D326" s="2" t="s">
        <v>0</v>
      </c>
    </row>
    <row r="327" spans="1:4" s="3" customFormat="1" ht="22.5" customHeight="1">
      <c r="A327" s="1" t="str">
        <f>"张月"</f>
        <v>张月</v>
      </c>
      <c r="B327" s="1" t="str">
        <f>"5860406022820"</f>
        <v>5860406022820</v>
      </c>
      <c r="C327" s="1" t="str">
        <f t="shared" si="14"/>
        <v>600084</v>
      </c>
      <c r="D327" s="2">
        <v>75</v>
      </c>
    </row>
    <row r="328" spans="1:4" s="3" customFormat="1" ht="22.5" customHeight="1">
      <c r="A328" s="1" t="str">
        <f>"王棋棋"</f>
        <v>王棋棋</v>
      </c>
      <c r="B328" s="1" t="str">
        <f>"5860406022915"</f>
        <v>5860406022915</v>
      </c>
      <c r="C328" s="1" t="str">
        <f t="shared" si="14"/>
        <v>600084</v>
      </c>
      <c r="D328" s="2">
        <v>83.6</v>
      </c>
    </row>
    <row r="329" spans="1:4" s="3" customFormat="1" ht="22.5" customHeight="1">
      <c r="A329" s="1" t="str">
        <f>"刘伦"</f>
        <v>刘伦</v>
      </c>
      <c r="B329" s="1" t="str">
        <f>"5860406022811"</f>
        <v>5860406022811</v>
      </c>
      <c r="C329" s="1" t="str">
        <f t="shared" si="14"/>
        <v>600084</v>
      </c>
      <c r="D329" s="2">
        <v>84.9</v>
      </c>
    </row>
    <row r="330" spans="1:4" s="3" customFormat="1" ht="22.5" customHeight="1">
      <c r="A330" s="1" t="str">
        <f>"冷权芳"</f>
        <v>冷权芳</v>
      </c>
      <c r="B330" s="1" t="str">
        <f>"5860406022824"</f>
        <v>5860406022824</v>
      </c>
      <c r="C330" s="1" t="str">
        <f t="shared" si="14"/>
        <v>600084</v>
      </c>
      <c r="D330" s="2">
        <v>78.6</v>
      </c>
    </row>
    <row r="331" spans="1:4" s="3" customFormat="1" ht="22.5" customHeight="1">
      <c r="A331" s="1" t="str">
        <f>"王源"</f>
        <v>王源</v>
      </c>
      <c r="B331" s="1" t="str">
        <f>"5860406022904"</f>
        <v>5860406022904</v>
      </c>
      <c r="C331" s="1" t="str">
        <f t="shared" si="14"/>
        <v>600084</v>
      </c>
      <c r="D331" s="2">
        <v>78.5</v>
      </c>
    </row>
    <row r="332" spans="1:4" s="3" customFormat="1" ht="22.5" customHeight="1">
      <c r="A332" s="1" t="str">
        <f>"方晓琳"</f>
        <v>方晓琳</v>
      </c>
      <c r="B332" s="1" t="str">
        <f>"5860406022905"</f>
        <v>5860406022905</v>
      </c>
      <c r="C332" s="1" t="str">
        <f t="shared" si="14"/>
        <v>600084</v>
      </c>
      <c r="D332" s="2">
        <v>78.57</v>
      </c>
    </row>
    <row r="333" spans="1:4" s="3" customFormat="1" ht="22.5" customHeight="1">
      <c r="A333" s="1" t="str">
        <f>"蔡利珠"</f>
        <v>蔡利珠</v>
      </c>
      <c r="B333" s="1" t="str">
        <f>"5860406022810"</f>
        <v>5860406022810</v>
      </c>
      <c r="C333" s="1" t="str">
        <f t="shared" si="14"/>
        <v>600084</v>
      </c>
      <c r="D333" s="2">
        <v>81.83</v>
      </c>
    </row>
    <row r="334" spans="1:4" s="3" customFormat="1" ht="22.5" customHeight="1">
      <c r="A334" s="1" t="str">
        <f>"杨小芳"</f>
        <v>杨小芳</v>
      </c>
      <c r="B334" s="1" t="str">
        <f>"5860406022817"</f>
        <v>5860406022817</v>
      </c>
      <c r="C334" s="1" t="str">
        <f t="shared" si="14"/>
        <v>600084</v>
      </c>
      <c r="D334" s="2">
        <v>82.77</v>
      </c>
    </row>
    <row r="335" spans="1:4" s="3" customFormat="1" ht="22.5" customHeight="1">
      <c r="A335" s="1" t="str">
        <f>"魏华"</f>
        <v>魏华</v>
      </c>
      <c r="B335" s="1" t="str">
        <f>"5860406022923"</f>
        <v>5860406022923</v>
      </c>
      <c r="C335" s="1" t="str">
        <f t="shared" si="14"/>
        <v>600084</v>
      </c>
      <c r="D335" s="2">
        <v>76.8</v>
      </c>
    </row>
    <row r="336" spans="1:4" s="3" customFormat="1" ht="22.5" customHeight="1">
      <c r="A336" s="1" t="str">
        <f>"黄燕"</f>
        <v>黄燕</v>
      </c>
      <c r="B336" s="1" t="str">
        <f>"5860406022815"</f>
        <v>5860406022815</v>
      </c>
      <c r="C336" s="1" t="str">
        <f t="shared" si="14"/>
        <v>600084</v>
      </c>
      <c r="D336" s="2">
        <v>81.17</v>
      </c>
    </row>
    <row r="337" spans="1:4" s="3" customFormat="1" ht="22.5" customHeight="1">
      <c r="A337" s="1" t="str">
        <f>"谢兰尧"</f>
        <v>谢兰尧</v>
      </c>
      <c r="B337" s="1" t="str">
        <f>"5860406022829"</f>
        <v>5860406022829</v>
      </c>
      <c r="C337" s="1" t="str">
        <f t="shared" si="14"/>
        <v>600084</v>
      </c>
      <c r="D337" s="2">
        <v>75.67</v>
      </c>
    </row>
    <row r="338" spans="1:4" s="3" customFormat="1" ht="22.5" customHeight="1">
      <c r="A338" s="1" t="str">
        <f>"郭小飞"</f>
        <v>郭小飞</v>
      </c>
      <c r="B338" s="1" t="str">
        <f>"5860406022911"</f>
        <v>5860406022911</v>
      </c>
      <c r="C338" s="1" t="str">
        <f t="shared" si="14"/>
        <v>600084</v>
      </c>
      <c r="D338" s="2">
        <v>80.8</v>
      </c>
    </row>
    <row r="339" spans="1:4" s="3" customFormat="1" ht="22.5" customHeight="1">
      <c r="A339" s="1" t="str">
        <f>"胡书丽"</f>
        <v>胡书丽</v>
      </c>
      <c r="B339" s="1" t="str">
        <f>"5860406022809"</f>
        <v>5860406022809</v>
      </c>
      <c r="C339" s="1" t="str">
        <f t="shared" si="14"/>
        <v>600084</v>
      </c>
      <c r="D339" s="2">
        <v>77.83</v>
      </c>
    </row>
    <row r="340" spans="1:4" s="3" customFormat="1" ht="22.5" customHeight="1">
      <c r="A340" s="1" t="str">
        <f>"周向娟"</f>
        <v>周向娟</v>
      </c>
      <c r="B340" s="1" t="str">
        <f>"5860406022916"</f>
        <v>5860406022916</v>
      </c>
      <c r="C340" s="1" t="str">
        <f t="shared" si="14"/>
        <v>600084</v>
      </c>
      <c r="D340" s="2">
        <v>85.03</v>
      </c>
    </row>
    <row r="341" spans="1:4" s="3" customFormat="1" ht="22.5" customHeight="1">
      <c r="A341" s="1" t="str">
        <f>"王娅"</f>
        <v>王娅</v>
      </c>
      <c r="B341" s="1" t="str">
        <f>"5860406022918"</f>
        <v>5860406022918</v>
      </c>
      <c r="C341" s="1" t="str">
        <f t="shared" si="14"/>
        <v>600084</v>
      </c>
      <c r="D341" s="2" t="s">
        <v>0</v>
      </c>
    </row>
    <row r="342" spans="1:4" s="3" customFormat="1" ht="22.5" customHeight="1">
      <c r="A342" s="1" t="str">
        <f>"陈飞"</f>
        <v>陈飞</v>
      </c>
      <c r="B342" s="1" t="str">
        <f>"5860406022813"</f>
        <v>5860406022813</v>
      </c>
      <c r="C342" s="1" t="str">
        <f t="shared" si="14"/>
        <v>600084</v>
      </c>
      <c r="D342" s="2" t="s">
        <v>0</v>
      </c>
    </row>
    <row r="343" spans="1:4" s="3" customFormat="1" ht="22.5" customHeight="1">
      <c r="A343" s="1" t="str">
        <f>"宋万军"</f>
        <v>宋万军</v>
      </c>
      <c r="B343" s="1" t="str">
        <f>"5860406013527"</f>
        <v>5860406013527</v>
      </c>
      <c r="C343" s="1" t="str">
        <f aca="true" t="shared" si="15" ref="C343:C363">"600064"</f>
        <v>600064</v>
      </c>
      <c r="D343" s="2">
        <v>79.67</v>
      </c>
    </row>
    <row r="344" spans="1:4" s="3" customFormat="1" ht="22.5" customHeight="1">
      <c r="A344" s="1" t="str">
        <f>"何彩凤"</f>
        <v>何彩凤</v>
      </c>
      <c r="B344" s="1" t="str">
        <f>"5860406013422"</f>
        <v>5860406013422</v>
      </c>
      <c r="C344" s="1" t="str">
        <f t="shared" si="15"/>
        <v>600064</v>
      </c>
      <c r="D344" s="2">
        <v>77.33</v>
      </c>
    </row>
    <row r="345" spans="1:4" s="3" customFormat="1" ht="22.5" customHeight="1">
      <c r="A345" s="1" t="str">
        <f>"陈美伊"</f>
        <v>陈美伊</v>
      </c>
      <c r="B345" s="1" t="str">
        <f>"5860406013428"</f>
        <v>5860406013428</v>
      </c>
      <c r="C345" s="1" t="str">
        <f t="shared" si="15"/>
        <v>600064</v>
      </c>
      <c r="D345" s="2">
        <v>79.67</v>
      </c>
    </row>
    <row r="346" spans="1:4" s="3" customFormat="1" ht="22.5" customHeight="1">
      <c r="A346" s="1" t="str">
        <f>"詹科银"</f>
        <v>詹科银</v>
      </c>
      <c r="B346" s="1" t="str">
        <f>"5860406013501"</f>
        <v>5860406013501</v>
      </c>
      <c r="C346" s="1" t="str">
        <f t="shared" si="15"/>
        <v>600064</v>
      </c>
      <c r="D346" s="2" t="s">
        <v>0</v>
      </c>
    </row>
    <row r="347" spans="1:4" s="3" customFormat="1" ht="22.5" customHeight="1">
      <c r="A347" s="1" t="str">
        <f>"任静"</f>
        <v>任静</v>
      </c>
      <c r="B347" s="1" t="str">
        <f>"5860406013607"</f>
        <v>5860406013607</v>
      </c>
      <c r="C347" s="1" t="str">
        <f t="shared" si="15"/>
        <v>600064</v>
      </c>
      <c r="D347" s="2">
        <v>84.33</v>
      </c>
    </row>
    <row r="348" spans="1:4" s="3" customFormat="1" ht="22.5" customHeight="1">
      <c r="A348" s="1" t="str">
        <f>"覃娅"</f>
        <v>覃娅</v>
      </c>
      <c r="B348" s="1" t="str">
        <f>"5860406013426"</f>
        <v>5860406013426</v>
      </c>
      <c r="C348" s="1" t="str">
        <f t="shared" si="15"/>
        <v>600064</v>
      </c>
      <c r="D348" s="2">
        <v>85.33</v>
      </c>
    </row>
    <row r="349" spans="1:4" s="3" customFormat="1" ht="22.5" customHeight="1">
      <c r="A349" s="1" t="str">
        <f>"王帆"</f>
        <v>王帆</v>
      </c>
      <c r="B349" s="1" t="str">
        <f>"5860406013504"</f>
        <v>5860406013504</v>
      </c>
      <c r="C349" s="1" t="str">
        <f t="shared" si="15"/>
        <v>600064</v>
      </c>
      <c r="D349" s="2">
        <v>76</v>
      </c>
    </row>
    <row r="350" spans="1:4" s="3" customFormat="1" ht="22.5" customHeight="1">
      <c r="A350" s="1" t="str">
        <f>"姚黎元"</f>
        <v>姚黎元</v>
      </c>
      <c r="B350" s="1" t="str">
        <f>"5860406013522"</f>
        <v>5860406013522</v>
      </c>
      <c r="C350" s="1" t="str">
        <f t="shared" si="15"/>
        <v>600064</v>
      </c>
      <c r="D350" s="2">
        <v>74.33</v>
      </c>
    </row>
    <row r="351" spans="1:4" s="3" customFormat="1" ht="22.5" customHeight="1">
      <c r="A351" s="1" t="str">
        <f>"艾方兰"</f>
        <v>艾方兰</v>
      </c>
      <c r="B351" s="1" t="str">
        <f>"5860406013518"</f>
        <v>5860406013518</v>
      </c>
      <c r="C351" s="1" t="str">
        <f t="shared" si="15"/>
        <v>600064</v>
      </c>
      <c r="D351" s="2">
        <v>79.67</v>
      </c>
    </row>
    <row r="352" spans="1:4" s="3" customFormat="1" ht="22.5" customHeight="1">
      <c r="A352" s="1" t="str">
        <f>"田新"</f>
        <v>田新</v>
      </c>
      <c r="B352" s="1" t="str">
        <f>"5860406013606"</f>
        <v>5860406013606</v>
      </c>
      <c r="C352" s="1" t="str">
        <f t="shared" si="15"/>
        <v>600064</v>
      </c>
      <c r="D352" s="2" t="s">
        <v>0</v>
      </c>
    </row>
    <row r="353" spans="1:4" s="3" customFormat="1" ht="22.5" customHeight="1">
      <c r="A353" s="1" t="str">
        <f>"张瑜"</f>
        <v>张瑜</v>
      </c>
      <c r="B353" s="1" t="str">
        <f>"5860406013418"</f>
        <v>5860406013418</v>
      </c>
      <c r="C353" s="1" t="str">
        <f t="shared" si="15"/>
        <v>600064</v>
      </c>
      <c r="D353" s="2">
        <v>84</v>
      </c>
    </row>
    <row r="354" spans="1:4" s="3" customFormat="1" ht="22.5" customHeight="1">
      <c r="A354" s="1" t="str">
        <f>"罗颖"</f>
        <v>罗颖</v>
      </c>
      <c r="B354" s="1" t="str">
        <f>"5860406013505"</f>
        <v>5860406013505</v>
      </c>
      <c r="C354" s="1" t="str">
        <f t="shared" si="15"/>
        <v>600064</v>
      </c>
      <c r="D354" s="2">
        <v>83.33</v>
      </c>
    </row>
    <row r="355" spans="1:4" s="3" customFormat="1" ht="22.5" customHeight="1">
      <c r="A355" s="1" t="str">
        <f>"王娇"</f>
        <v>王娇</v>
      </c>
      <c r="B355" s="1" t="str">
        <f>"5860406013423"</f>
        <v>5860406013423</v>
      </c>
      <c r="C355" s="1" t="str">
        <f t="shared" si="15"/>
        <v>600064</v>
      </c>
      <c r="D355" s="2">
        <v>79</v>
      </c>
    </row>
    <row r="356" spans="1:4" s="3" customFormat="1" ht="22.5" customHeight="1">
      <c r="A356" s="1" t="str">
        <f>"杨茜"</f>
        <v>杨茜</v>
      </c>
      <c r="B356" s="1" t="str">
        <f>"5860406013429"</f>
        <v>5860406013429</v>
      </c>
      <c r="C356" s="1" t="str">
        <f t="shared" si="15"/>
        <v>600064</v>
      </c>
      <c r="D356" s="2">
        <v>82.33</v>
      </c>
    </row>
    <row r="357" spans="1:4" s="3" customFormat="1" ht="22.5" customHeight="1">
      <c r="A357" s="1" t="str">
        <f>"邓晶晶"</f>
        <v>邓晶晶</v>
      </c>
      <c r="B357" s="1" t="str">
        <f>"5860406013513"</f>
        <v>5860406013513</v>
      </c>
      <c r="C357" s="1" t="str">
        <f t="shared" si="15"/>
        <v>600064</v>
      </c>
      <c r="D357" s="2">
        <v>77</v>
      </c>
    </row>
    <row r="358" spans="1:4" s="3" customFormat="1" ht="22.5" customHeight="1">
      <c r="A358" s="1" t="str">
        <f>"冉茂军"</f>
        <v>冉茂军</v>
      </c>
      <c r="B358" s="1" t="str">
        <f>"5860406013519"</f>
        <v>5860406013519</v>
      </c>
      <c r="C358" s="1" t="str">
        <f t="shared" si="15"/>
        <v>600064</v>
      </c>
      <c r="D358" s="2">
        <v>83</v>
      </c>
    </row>
    <row r="359" spans="1:4" s="3" customFormat="1" ht="22.5" customHeight="1">
      <c r="A359" s="1" t="str">
        <f>"王天镓"</f>
        <v>王天镓</v>
      </c>
      <c r="B359" s="1" t="str">
        <f>"5860406013528"</f>
        <v>5860406013528</v>
      </c>
      <c r="C359" s="1" t="str">
        <f t="shared" si="15"/>
        <v>600064</v>
      </c>
      <c r="D359" s="2">
        <v>83</v>
      </c>
    </row>
    <row r="360" spans="1:4" s="3" customFormat="1" ht="22.5" customHeight="1">
      <c r="A360" s="1" t="str">
        <f>"程维燕"</f>
        <v>程维燕</v>
      </c>
      <c r="B360" s="1" t="str">
        <f>"5860406013530"</f>
        <v>5860406013530</v>
      </c>
      <c r="C360" s="1" t="str">
        <f t="shared" si="15"/>
        <v>600064</v>
      </c>
      <c r="D360" s="2">
        <v>79</v>
      </c>
    </row>
    <row r="361" spans="1:4" s="3" customFormat="1" ht="22.5" customHeight="1">
      <c r="A361" s="1" t="str">
        <f>"冯彩云"</f>
        <v>冯彩云</v>
      </c>
      <c r="B361" s="1" t="str">
        <f>"5860406013430"</f>
        <v>5860406013430</v>
      </c>
      <c r="C361" s="1" t="str">
        <f t="shared" si="15"/>
        <v>600064</v>
      </c>
      <c r="D361" s="2">
        <v>71.33</v>
      </c>
    </row>
    <row r="362" spans="1:4" s="3" customFormat="1" ht="22.5" customHeight="1">
      <c r="A362" s="1" t="str">
        <f>"邱悦"</f>
        <v>邱悦</v>
      </c>
      <c r="B362" s="1" t="str">
        <f>"5860406013524"</f>
        <v>5860406013524</v>
      </c>
      <c r="C362" s="1" t="str">
        <f t="shared" si="15"/>
        <v>600064</v>
      </c>
      <c r="D362" s="2">
        <v>79.33</v>
      </c>
    </row>
    <row r="363" spans="1:4" s="3" customFormat="1" ht="22.5" customHeight="1">
      <c r="A363" s="1" t="str">
        <f>"李文欢"</f>
        <v>李文欢</v>
      </c>
      <c r="B363" s="1" t="str">
        <f>"5860406013520"</f>
        <v>5860406013520</v>
      </c>
      <c r="C363" s="1" t="str">
        <f t="shared" si="15"/>
        <v>600064</v>
      </c>
      <c r="D363" s="2">
        <v>76.67</v>
      </c>
    </row>
    <row r="364" spans="1:4" s="3" customFormat="1" ht="22.5" customHeight="1">
      <c r="A364" s="1" t="str">
        <f>"王小利"</f>
        <v>王小利</v>
      </c>
      <c r="B364" s="1" t="str">
        <f>"5860406023523"</f>
        <v>5860406023523</v>
      </c>
      <c r="C364" s="1" t="str">
        <f aca="true" t="shared" si="16" ref="C364:C396">"600087"</f>
        <v>600087</v>
      </c>
      <c r="D364" s="2">
        <v>82</v>
      </c>
    </row>
    <row r="365" spans="1:4" s="3" customFormat="1" ht="22.5" customHeight="1">
      <c r="A365" s="1" t="str">
        <f>"王莲清"</f>
        <v>王莲清</v>
      </c>
      <c r="B365" s="1" t="str">
        <f>"5860406023411"</f>
        <v>5860406023411</v>
      </c>
      <c r="C365" s="1" t="str">
        <f t="shared" si="16"/>
        <v>600087</v>
      </c>
      <c r="D365" s="2">
        <v>78.67</v>
      </c>
    </row>
    <row r="366" spans="1:4" s="3" customFormat="1" ht="22.5" customHeight="1">
      <c r="A366" s="1" t="str">
        <f>"张璐"</f>
        <v>张璐</v>
      </c>
      <c r="B366" s="1" t="str">
        <f>"5860406023528"</f>
        <v>5860406023528</v>
      </c>
      <c r="C366" s="1" t="str">
        <f t="shared" si="16"/>
        <v>600087</v>
      </c>
      <c r="D366" s="2">
        <v>83.33</v>
      </c>
    </row>
    <row r="367" spans="1:4" s="3" customFormat="1" ht="22.5" customHeight="1">
      <c r="A367" s="1" t="str">
        <f>"熊晓娟"</f>
        <v>熊晓娟</v>
      </c>
      <c r="B367" s="1" t="str">
        <f>"5860406023427"</f>
        <v>5860406023427</v>
      </c>
      <c r="C367" s="1" t="str">
        <f t="shared" si="16"/>
        <v>600087</v>
      </c>
      <c r="D367" s="2">
        <v>84.67</v>
      </c>
    </row>
    <row r="368" spans="1:4" s="3" customFormat="1" ht="22.5" customHeight="1">
      <c r="A368" s="1" t="str">
        <f>"黄锐"</f>
        <v>黄锐</v>
      </c>
      <c r="B368" s="1" t="str">
        <f>"5860406023504"</f>
        <v>5860406023504</v>
      </c>
      <c r="C368" s="1" t="str">
        <f t="shared" si="16"/>
        <v>600087</v>
      </c>
      <c r="D368" s="2">
        <v>80.67</v>
      </c>
    </row>
    <row r="369" spans="1:4" s="3" customFormat="1" ht="22.5" customHeight="1">
      <c r="A369" s="1" t="str">
        <f>"蒋静"</f>
        <v>蒋静</v>
      </c>
      <c r="B369" s="1" t="str">
        <f>"5860406023414"</f>
        <v>5860406023414</v>
      </c>
      <c r="C369" s="1" t="str">
        <f t="shared" si="16"/>
        <v>600087</v>
      </c>
      <c r="D369" s="2" t="s">
        <v>0</v>
      </c>
    </row>
    <row r="370" spans="1:4" s="3" customFormat="1" ht="22.5" customHeight="1">
      <c r="A370" s="1" t="str">
        <f>"杨芳"</f>
        <v>杨芳</v>
      </c>
      <c r="B370" s="1" t="str">
        <f>"5860406023430"</f>
        <v>5860406023430</v>
      </c>
      <c r="C370" s="1" t="str">
        <f t="shared" si="16"/>
        <v>600087</v>
      </c>
      <c r="D370" s="2">
        <v>81.67</v>
      </c>
    </row>
    <row r="371" spans="1:4" s="3" customFormat="1" ht="22.5" customHeight="1">
      <c r="A371" s="1" t="str">
        <f>"游娟"</f>
        <v>游娟</v>
      </c>
      <c r="B371" s="1" t="str">
        <f>"5860406023412"</f>
        <v>5860406023412</v>
      </c>
      <c r="C371" s="1" t="str">
        <f t="shared" si="16"/>
        <v>600087</v>
      </c>
      <c r="D371" s="2">
        <v>87.67</v>
      </c>
    </row>
    <row r="372" spans="1:4" s="3" customFormat="1" ht="22.5" customHeight="1">
      <c r="A372" s="1" t="str">
        <f>"周莎莎"</f>
        <v>周莎莎</v>
      </c>
      <c r="B372" s="1" t="str">
        <f>"5860406023415"</f>
        <v>5860406023415</v>
      </c>
      <c r="C372" s="1" t="str">
        <f t="shared" si="16"/>
        <v>600087</v>
      </c>
      <c r="D372" s="2">
        <v>76.33</v>
      </c>
    </row>
    <row r="373" spans="1:4" s="3" customFormat="1" ht="22.5" customHeight="1">
      <c r="A373" s="1" t="str">
        <f>"谢四端"</f>
        <v>谢四端</v>
      </c>
      <c r="B373" s="1" t="str">
        <f>"5860406023602"</f>
        <v>5860406023602</v>
      </c>
      <c r="C373" s="1" t="str">
        <f t="shared" si="16"/>
        <v>600087</v>
      </c>
      <c r="D373" s="2">
        <v>81.33</v>
      </c>
    </row>
    <row r="374" spans="1:4" s="3" customFormat="1" ht="22.5" customHeight="1">
      <c r="A374" s="1" t="str">
        <f>"夏新疆"</f>
        <v>夏新疆</v>
      </c>
      <c r="B374" s="1" t="str">
        <f>"5860406023513"</f>
        <v>5860406023513</v>
      </c>
      <c r="C374" s="1" t="str">
        <f t="shared" si="16"/>
        <v>600087</v>
      </c>
      <c r="D374" s="2">
        <v>82.67</v>
      </c>
    </row>
    <row r="375" spans="1:4" s="3" customFormat="1" ht="22.5" customHeight="1">
      <c r="A375" s="1" t="str">
        <f>"张娜"</f>
        <v>张娜</v>
      </c>
      <c r="B375" s="1" t="str">
        <f>"5860406023421"</f>
        <v>5860406023421</v>
      </c>
      <c r="C375" s="1" t="str">
        <f t="shared" si="16"/>
        <v>600087</v>
      </c>
      <c r="D375" s="2">
        <v>83.33</v>
      </c>
    </row>
    <row r="376" spans="1:4" s="3" customFormat="1" ht="22.5" customHeight="1">
      <c r="A376" s="1" t="str">
        <f>"陈玲"</f>
        <v>陈玲</v>
      </c>
      <c r="B376" s="1" t="str">
        <f>"5860406023424"</f>
        <v>5860406023424</v>
      </c>
      <c r="C376" s="1" t="str">
        <f t="shared" si="16"/>
        <v>600087</v>
      </c>
      <c r="D376" s="2">
        <v>82.67</v>
      </c>
    </row>
    <row r="377" spans="1:4" s="3" customFormat="1" ht="22.5" customHeight="1">
      <c r="A377" s="1" t="str">
        <f>"李锐"</f>
        <v>李锐</v>
      </c>
      <c r="B377" s="1" t="str">
        <f>"5860406023521"</f>
        <v>5860406023521</v>
      </c>
      <c r="C377" s="1" t="str">
        <f t="shared" si="16"/>
        <v>600087</v>
      </c>
      <c r="D377" s="2">
        <v>77.33</v>
      </c>
    </row>
    <row r="378" spans="1:4" s="3" customFormat="1" ht="22.5" customHeight="1">
      <c r="A378" s="1" t="str">
        <f>"敬淑钦"</f>
        <v>敬淑钦</v>
      </c>
      <c r="B378" s="1" t="str">
        <f>"5860406023526"</f>
        <v>5860406023526</v>
      </c>
      <c r="C378" s="1" t="str">
        <f t="shared" si="16"/>
        <v>600087</v>
      </c>
      <c r="D378" s="2">
        <v>82</v>
      </c>
    </row>
    <row r="379" spans="1:4" s="3" customFormat="1" ht="22.5" customHeight="1">
      <c r="A379" s="1" t="str">
        <f>"杨雅麟"</f>
        <v>杨雅麟</v>
      </c>
      <c r="B379" s="1" t="str">
        <f>"5860406023413"</f>
        <v>5860406023413</v>
      </c>
      <c r="C379" s="1" t="str">
        <f t="shared" si="16"/>
        <v>600087</v>
      </c>
      <c r="D379" s="2">
        <v>85.33</v>
      </c>
    </row>
    <row r="380" spans="1:4" s="3" customFormat="1" ht="22.5" customHeight="1">
      <c r="A380" s="1" t="str">
        <f>"王薇"</f>
        <v>王薇</v>
      </c>
      <c r="B380" s="1" t="str">
        <f>"5860406023419"</f>
        <v>5860406023419</v>
      </c>
      <c r="C380" s="1" t="str">
        <f t="shared" si="16"/>
        <v>600087</v>
      </c>
      <c r="D380" s="2">
        <v>78.67</v>
      </c>
    </row>
    <row r="381" spans="1:4" s="3" customFormat="1" ht="22.5" customHeight="1">
      <c r="A381" s="1" t="str">
        <f>"高俊"</f>
        <v>高俊</v>
      </c>
      <c r="B381" s="1" t="str">
        <f>"5860406023422"</f>
        <v>5860406023422</v>
      </c>
      <c r="C381" s="1" t="str">
        <f t="shared" si="16"/>
        <v>600087</v>
      </c>
      <c r="D381" s="2" t="s">
        <v>0</v>
      </c>
    </row>
    <row r="382" spans="1:4" s="3" customFormat="1" ht="22.5" customHeight="1">
      <c r="A382" s="1" t="str">
        <f>"唐洪博"</f>
        <v>唐洪博</v>
      </c>
      <c r="B382" s="1" t="str">
        <f>"5860406023514"</f>
        <v>5860406023514</v>
      </c>
      <c r="C382" s="1" t="str">
        <f t="shared" si="16"/>
        <v>600087</v>
      </c>
      <c r="D382" s="2">
        <v>77</v>
      </c>
    </row>
    <row r="383" spans="1:4" s="3" customFormat="1" ht="22.5" customHeight="1">
      <c r="A383" s="1" t="str">
        <f>"刘杰"</f>
        <v>刘杰</v>
      </c>
      <c r="B383" s="1" t="str">
        <f>"5860406023410"</f>
        <v>5860406023410</v>
      </c>
      <c r="C383" s="1" t="str">
        <f t="shared" si="16"/>
        <v>600087</v>
      </c>
      <c r="D383" s="2">
        <v>76</v>
      </c>
    </row>
    <row r="384" spans="1:4" s="3" customFormat="1" ht="22.5" customHeight="1">
      <c r="A384" s="1" t="str">
        <f>"文倩"</f>
        <v>文倩</v>
      </c>
      <c r="B384" s="1" t="str">
        <f>"5860406023420"</f>
        <v>5860406023420</v>
      </c>
      <c r="C384" s="1" t="str">
        <f t="shared" si="16"/>
        <v>600087</v>
      </c>
      <c r="D384" s="2">
        <v>78</v>
      </c>
    </row>
    <row r="385" spans="1:4" s="3" customFormat="1" ht="22.5" customHeight="1">
      <c r="A385" s="1" t="str">
        <f>"陈旭"</f>
        <v>陈旭</v>
      </c>
      <c r="B385" s="1" t="str">
        <f>"5860406023425"</f>
        <v>5860406023425</v>
      </c>
      <c r="C385" s="1" t="str">
        <f t="shared" si="16"/>
        <v>600087</v>
      </c>
      <c r="D385" s="2">
        <v>79.67</v>
      </c>
    </row>
    <row r="386" spans="1:4" s="3" customFormat="1" ht="22.5" customHeight="1">
      <c r="A386" s="1" t="str">
        <f>"何小川"</f>
        <v>何小川</v>
      </c>
      <c r="B386" s="1" t="str">
        <f>"5860406023506"</f>
        <v>5860406023506</v>
      </c>
      <c r="C386" s="1" t="str">
        <f t="shared" si="16"/>
        <v>600087</v>
      </c>
      <c r="D386" s="2">
        <v>86</v>
      </c>
    </row>
    <row r="387" spans="1:4" s="3" customFormat="1" ht="22.5" customHeight="1">
      <c r="A387" s="1" t="str">
        <f>"赵青龙"</f>
        <v>赵青龙</v>
      </c>
      <c r="B387" s="1" t="str">
        <f>"5860406023610"</f>
        <v>5860406023610</v>
      </c>
      <c r="C387" s="1" t="str">
        <f t="shared" si="16"/>
        <v>600087</v>
      </c>
      <c r="D387" s="2">
        <v>86</v>
      </c>
    </row>
    <row r="388" spans="1:4" s="3" customFormat="1" ht="22.5" customHeight="1">
      <c r="A388" s="1" t="str">
        <f>"代丽莲"</f>
        <v>代丽莲</v>
      </c>
      <c r="B388" s="1" t="str">
        <f>"5860406023426"</f>
        <v>5860406023426</v>
      </c>
      <c r="C388" s="1" t="str">
        <f t="shared" si="16"/>
        <v>600087</v>
      </c>
      <c r="D388" s="2">
        <v>62.33</v>
      </c>
    </row>
    <row r="389" spans="1:4" s="3" customFormat="1" ht="22.5" customHeight="1">
      <c r="A389" s="1" t="str">
        <f>"赖红宇"</f>
        <v>赖红宇</v>
      </c>
      <c r="B389" s="1" t="str">
        <f>"5860406023520"</f>
        <v>5860406023520</v>
      </c>
      <c r="C389" s="1" t="str">
        <f t="shared" si="16"/>
        <v>600087</v>
      </c>
      <c r="D389" s="2" t="s">
        <v>1</v>
      </c>
    </row>
    <row r="390" spans="1:4" s="3" customFormat="1" ht="22.5" customHeight="1">
      <c r="A390" s="1" t="str">
        <f>"蒋小玉"</f>
        <v>蒋小玉</v>
      </c>
      <c r="B390" s="1" t="str">
        <f>"5860406023505"</f>
        <v>5860406023505</v>
      </c>
      <c r="C390" s="1" t="str">
        <f t="shared" si="16"/>
        <v>600087</v>
      </c>
      <c r="D390" s="2">
        <v>81.33</v>
      </c>
    </row>
    <row r="391" spans="1:4" s="3" customFormat="1" ht="22.5" customHeight="1">
      <c r="A391" s="1" t="str">
        <f>"邓金枚"</f>
        <v>邓金枚</v>
      </c>
      <c r="B391" s="1" t="str">
        <f>"5860406023508"</f>
        <v>5860406023508</v>
      </c>
      <c r="C391" s="1" t="str">
        <f t="shared" si="16"/>
        <v>600087</v>
      </c>
      <c r="D391" s="2">
        <v>82</v>
      </c>
    </row>
    <row r="392" spans="1:4" s="3" customFormat="1" ht="22.5" customHeight="1">
      <c r="A392" s="1" t="str">
        <f>"向锋"</f>
        <v>向锋</v>
      </c>
      <c r="B392" s="1" t="str">
        <f>"5860406023530"</f>
        <v>5860406023530</v>
      </c>
      <c r="C392" s="1" t="str">
        <f t="shared" si="16"/>
        <v>600087</v>
      </c>
      <c r="D392" s="2">
        <v>75.33</v>
      </c>
    </row>
    <row r="393" spans="1:4" s="3" customFormat="1" ht="22.5" customHeight="1">
      <c r="A393" s="1" t="str">
        <f>"李维娇"</f>
        <v>李维娇</v>
      </c>
      <c r="B393" s="1" t="str">
        <f>"5860406023601"</f>
        <v>5860406023601</v>
      </c>
      <c r="C393" s="1" t="str">
        <f t="shared" si="16"/>
        <v>600087</v>
      </c>
      <c r="D393" s="2">
        <v>83.33</v>
      </c>
    </row>
    <row r="394" spans="1:4" s="3" customFormat="1" ht="22.5" customHeight="1">
      <c r="A394" s="1" t="str">
        <f>"冉霞"</f>
        <v>冉霞</v>
      </c>
      <c r="B394" s="1" t="str">
        <f>"5860406023512"</f>
        <v>5860406023512</v>
      </c>
      <c r="C394" s="1" t="str">
        <f t="shared" si="16"/>
        <v>600087</v>
      </c>
      <c r="D394" s="2">
        <v>61.67</v>
      </c>
    </row>
    <row r="395" spans="1:4" s="3" customFormat="1" ht="22.5" customHeight="1">
      <c r="A395" s="1" t="str">
        <f>"徐永莉"</f>
        <v>徐永莉</v>
      </c>
      <c r="B395" s="1" t="str">
        <f>"5860406023529"</f>
        <v>5860406023529</v>
      </c>
      <c r="C395" s="1" t="str">
        <f t="shared" si="16"/>
        <v>600087</v>
      </c>
      <c r="D395" s="2">
        <v>75.67</v>
      </c>
    </row>
    <row r="396" spans="1:4" s="3" customFormat="1" ht="22.5" customHeight="1">
      <c r="A396" s="1" t="str">
        <f>"冯俊"</f>
        <v>冯俊</v>
      </c>
      <c r="B396" s="1" t="str">
        <f>"5860406023416"</f>
        <v>5860406023416</v>
      </c>
      <c r="C396" s="1" t="str">
        <f t="shared" si="16"/>
        <v>600087</v>
      </c>
      <c r="D396" s="2" t="s">
        <v>0</v>
      </c>
    </row>
    <row r="397" spans="1:4" s="3" customFormat="1" ht="22.5" customHeight="1">
      <c r="A397" s="1" t="str">
        <f>"唐远琪"</f>
        <v>唐远琪</v>
      </c>
      <c r="B397" s="1" t="str">
        <f>"5860406023621"</f>
        <v>5860406023621</v>
      </c>
      <c r="C397" s="1" t="str">
        <f aca="true" t="shared" si="17" ref="C397:C431">"600088"</f>
        <v>600088</v>
      </c>
      <c r="D397" s="2">
        <v>80.67</v>
      </c>
    </row>
    <row r="398" spans="1:4" s="3" customFormat="1" ht="22.5" customHeight="1">
      <c r="A398" s="1" t="str">
        <f>"黄悠君"</f>
        <v>黄悠君</v>
      </c>
      <c r="B398" s="1" t="str">
        <f>"5860406023617"</f>
        <v>5860406023617</v>
      </c>
      <c r="C398" s="1" t="str">
        <f t="shared" si="17"/>
        <v>600088</v>
      </c>
      <c r="D398" s="2">
        <v>81.33</v>
      </c>
    </row>
    <row r="399" spans="1:4" s="3" customFormat="1" ht="22.5" customHeight="1">
      <c r="A399" s="1" t="str">
        <f>"陈宜雨"</f>
        <v>陈宜雨</v>
      </c>
      <c r="B399" s="1" t="str">
        <f>"5860406023711"</f>
        <v>5860406023711</v>
      </c>
      <c r="C399" s="1" t="str">
        <f t="shared" si="17"/>
        <v>600088</v>
      </c>
      <c r="D399" s="2">
        <v>75.67</v>
      </c>
    </row>
    <row r="400" spans="1:4" s="3" customFormat="1" ht="22.5" customHeight="1">
      <c r="A400" s="1" t="str">
        <f>"何先琴"</f>
        <v>何先琴</v>
      </c>
      <c r="B400" s="1" t="str">
        <f>"5860406023714"</f>
        <v>5860406023714</v>
      </c>
      <c r="C400" s="1" t="str">
        <f t="shared" si="17"/>
        <v>600088</v>
      </c>
      <c r="D400" s="2">
        <v>78.67</v>
      </c>
    </row>
    <row r="401" spans="1:4" s="3" customFormat="1" ht="22.5" customHeight="1">
      <c r="A401" s="1" t="str">
        <f>"杨丹"</f>
        <v>杨丹</v>
      </c>
      <c r="B401" s="1" t="str">
        <f>"5860406023618"</f>
        <v>5860406023618</v>
      </c>
      <c r="C401" s="1" t="str">
        <f t="shared" si="17"/>
        <v>600088</v>
      </c>
      <c r="D401" s="2">
        <v>77.67</v>
      </c>
    </row>
    <row r="402" spans="1:4" s="3" customFormat="1" ht="22.5" customHeight="1">
      <c r="A402" s="1" t="str">
        <f>"周燕秋"</f>
        <v>周燕秋</v>
      </c>
      <c r="B402" s="1" t="str">
        <f>"5860406023628"</f>
        <v>5860406023628</v>
      </c>
      <c r="C402" s="1" t="str">
        <f t="shared" si="17"/>
        <v>600088</v>
      </c>
      <c r="D402" s="2">
        <v>77.33</v>
      </c>
    </row>
    <row r="403" spans="1:4" s="3" customFormat="1" ht="22.5" customHeight="1">
      <c r="A403" s="1" t="str">
        <f>"张艺文"</f>
        <v>张艺文</v>
      </c>
      <c r="B403" s="1" t="str">
        <f>"5860406023716"</f>
        <v>5860406023716</v>
      </c>
      <c r="C403" s="1" t="str">
        <f t="shared" si="17"/>
        <v>600088</v>
      </c>
      <c r="D403" s="2" t="s">
        <v>0</v>
      </c>
    </row>
    <row r="404" spans="1:4" s="3" customFormat="1" ht="22.5" customHeight="1">
      <c r="A404" s="1" t="str">
        <f>"赵静"</f>
        <v>赵静</v>
      </c>
      <c r="B404" s="1" t="str">
        <f>"5860406023719"</f>
        <v>5860406023719</v>
      </c>
      <c r="C404" s="1" t="str">
        <f t="shared" si="17"/>
        <v>600088</v>
      </c>
      <c r="D404" s="2">
        <v>74</v>
      </c>
    </row>
    <row r="405" spans="1:4" s="3" customFormat="1" ht="22.5" customHeight="1">
      <c r="A405" s="1" t="str">
        <f>"蒲朋"</f>
        <v>蒲朋</v>
      </c>
      <c r="B405" s="1" t="str">
        <f>"5860406023806"</f>
        <v>5860406023806</v>
      </c>
      <c r="C405" s="1" t="str">
        <f t="shared" si="17"/>
        <v>600088</v>
      </c>
      <c r="D405" s="2">
        <v>78.33</v>
      </c>
    </row>
    <row r="406" spans="1:4" s="3" customFormat="1" ht="22.5" customHeight="1">
      <c r="A406" s="1" t="str">
        <f>"杨春兰"</f>
        <v>杨春兰</v>
      </c>
      <c r="B406" s="1" t="str">
        <f>"5860406023826"</f>
        <v>5860406023826</v>
      </c>
      <c r="C406" s="1" t="str">
        <f t="shared" si="17"/>
        <v>600088</v>
      </c>
      <c r="D406" s="2">
        <v>76.67</v>
      </c>
    </row>
    <row r="407" spans="1:4" s="3" customFormat="1" ht="22.5" customHeight="1">
      <c r="A407" s="1" t="str">
        <f>"曹力文"</f>
        <v>曹力文</v>
      </c>
      <c r="B407" s="1" t="str">
        <f>"5860406023903"</f>
        <v>5860406023903</v>
      </c>
      <c r="C407" s="1" t="str">
        <f t="shared" si="17"/>
        <v>600088</v>
      </c>
      <c r="D407" s="2">
        <v>75.33</v>
      </c>
    </row>
    <row r="408" spans="1:4" s="3" customFormat="1" ht="22.5" customHeight="1">
      <c r="A408" s="1" t="str">
        <f>"熊志豪"</f>
        <v>熊志豪</v>
      </c>
      <c r="B408" s="1" t="str">
        <f>"5860406023619"</f>
        <v>5860406023619</v>
      </c>
      <c r="C408" s="1" t="str">
        <f t="shared" si="17"/>
        <v>600088</v>
      </c>
      <c r="D408" s="2">
        <v>78.67</v>
      </c>
    </row>
    <row r="409" spans="1:4" s="3" customFormat="1" ht="22.5" customHeight="1">
      <c r="A409" s="1" t="str">
        <f>"朱晓兰"</f>
        <v>朱晓兰</v>
      </c>
      <c r="B409" s="1" t="str">
        <f>"5860406023701"</f>
        <v>5860406023701</v>
      </c>
      <c r="C409" s="1" t="str">
        <f t="shared" si="17"/>
        <v>600088</v>
      </c>
      <c r="D409" s="2">
        <v>80.67</v>
      </c>
    </row>
    <row r="410" spans="1:4" s="3" customFormat="1" ht="22.5" customHeight="1">
      <c r="A410" s="1" t="str">
        <f>"王莉芝"</f>
        <v>王莉芝</v>
      </c>
      <c r="B410" s="1" t="str">
        <f>"5860406023728"</f>
        <v>5860406023728</v>
      </c>
      <c r="C410" s="1" t="str">
        <f t="shared" si="17"/>
        <v>600088</v>
      </c>
      <c r="D410" s="2">
        <v>82.33</v>
      </c>
    </row>
    <row r="411" spans="1:4" s="3" customFormat="1" ht="22.5" customHeight="1">
      <c r="A411" s="1" t="str">
        <f>"吕颖"</f>
        <v>吕颖</v>
      </c>
      <c r="B411" s="1" t="str">
        <f>"5860406023824"</f>
        <v>5860406023824</v>
      </c>
      <c r="C411" s="1" t="str">
        <f t="shared" si="17"/>
        <v>600088</v>
      </c>
      <c r="D411" s="2" t="s">
        <v>0</v>
      </c>
    </row>
    <row r="412" spans="1:4" s="3" customFormat="1" ht="22.5" customHeight="1">
      <c r="A412" s="1" t="str">
        <f>"夏春燕"</f>
        <v>夏春燕</v>
      </c>
      <c r="B412" s="1" t="str">
        <f>"5860406023815"</f>
        <v>5860406023815</v>
      </c>
      <c r="C412" s="1" t="str">
        <f t="shared" si="17"/>
        <v>600088</v>
      </c>
      <c r="D412" s="2">
        <v>78.67</v>
      </c>
    </row>
    <row r="413" spans="1:4" s="3" customFormat="1" ht="22.5" customHeight="1">
      <c r="A413" s="1" t="str">
        <f>"侯巧"</f>
        <v>侯巧</v>
      </c>
      <c r="B413" s="1" t="str">
        <f>"5860406023819"</f>
        <v>5860406023819</v>
      </c>
      <c r="C413" s="1" t="str">
        <f t="shared" si="17"/>
        <v>600088</v>
      </c>
      <c r="D413" s="2">
        <v>81.33</v>
      </c>
    </row>
    <row r="414" spans="1:4" s="3" customFormat="1" ht="22.5" customHeight="1">
      <c r="A414" s="1" t="str">
        <f>"张雪铃"</f>
        <v>张雪铃</v>
      </c>
      <c r="B414" s="1" t="str">
        <f>"5860406023715"</f>
        <v>5860406023715</v>
      </c>
      <c r="C414" s="1" t="str">
        <f t="shared" si="17"/>
        <v>600088</v>
      </c>
      <c r="D414" s="2">
        <v>79.33</v>
      </c>
    </row>
    <row r="415" spans="1:4" s="3" customFormat="1" ht="22.5" customHeight="1">
      <c r="A415" s="1" t="str">
        <f>"聂治珍"</f>
        <v>聂治珍</v>
      </c>
      <c r="B415" s="1" t="str">
        <f>"5860406023726"</f>
        <v>5860406023726</v>
      </c>
      <c r="C415" s="1" t="str">
        <f t="shared" si="17"/>
        <v>600088</v>
      </c>
      <c r="D415" s="2">
        <v>77.33</v>
      </c>
    </row>
    <row r="416" spans="1:4" s="3" customFormat="1" ht="22.5" customHeight="1">
      <c r="A416" s="1" t="str">
        <f>"向莉"</f>
        <v>向莉</v>
      </c>
      <c r="B416" s="1" t="str">
        <f>"5860406023725"</f>
        <v>5860406023725</v>
      </c>
      <c r="C416" s="1" t="str">
        <f t="shared" si="17"/>
        <v>600088</v>
      </c>
      <c r="D416" s="2">
        <v>74.33</v>
      </c>
    </row>
    <row r="417" spans="1:4" s="3" customFormat="1" ht="22.5" customHeight="1">
      <c r="A417" s="1" t="str">
        <f>"陈林"</f>
        <v>陈林</v>
      </c>
      <c r="B417" s="1" t="str">
        <f>"5860406023802"</f>
        <v>5860406023802</v>
      </c>
      <c r="C417" s="1" t="str">
        <f t="shared" si="17"/>
        <v>600088</v>
      </c>
      <c r="D417" s="2">
        <v>81.67</v>
      </c>
    </row>
    <row r="418" spans="1:4" s="3" customFormat="1" ht="22.5" customHeight="1">
      <c r="A418" s="1" t="str">
        <f>"何利"</f>
        <v>何利</v>
      </c>
      <c r="B418" s="1" t="str">
        <f>"5860406023901"</f>
        <v>5860406023901</v>
      </c>
      <c r="C418" s="1" t="str">
        <f t="shared" si="17"/>
        <v>600088</v>
      </c>
      <c r="D418" s="2">
        <v>77.67</v>
      </c>
    </row>
    <row r="419" spans="1:4" s="3" customFormat="1" ht="22.5" customHeight="1">
      <c r="A419" s="1" t="str">
        <f>"陈巧梅"</f>
        <v>陈巧梅</v>
      </c>
      <c r="B419" s="1" t="str">
        <f>"5860406023704"</f>
        <v>5860406023704</v>
      </c>
      <c r="C419" s="1" t="str">
        <f t="shared" si="17"/>
        <v>600088</v>
      </c>
      <c r="D419" s="2">
        <v>80.67</v>
      </c>
    </row>
    <row r="420" spans="1:4" s="3" customFormat="1" ht="22.5" customHeight="1">
      <c r="A420" s="1" t="str">
        <f>"朱峰吕"</f>
        <v>朱峰吕</v>
      </c>
      <c r="B420" s="1" t="str">
        <f>"5860406023630"</f>
        <v>5860406023630</v>
      </c>
      <c r="C420" s="1" t="str">
        <f t="shared" si="17"/>
        <v>600088</v>
      </c>
      <c r="D420" s="2">
        <v>79</v>
      </c>
    </row>
    <row r="421" spans="1:4" s="3" customFormat="1" ht="22.5" customHeight="1">
      <c r="A421" s="1" t="str">
        <f>"周厚超"</f>
        <v>周厚超</v>
      </c>
      <c r="B421" s="1" t="str">
        <f>"5860406023804"</f>
        <v>5860406023804</v>
      </c>
      <c r="C421" s="1" t="str">
        <f t="shared" si="17"/>
        <v>600088</v>
      </c>
      <c r="D421" s="2">
        <v>75.33</v>
      </c>
    </row>
    <row r="422" spans="1:4" s="3" customFormat="1" ht="22.5" customHeight="1">
      <c r="A422" s="1" t="str">
        <f>"谭成龙"</f>
        <v>谭成龙</v>
      </c>
      <c r="B422" s="1" t="str">
        <f>"5860406023821"</f>
        <v>5860406023821</v>
      </c>
      <c r="C422" s="1" t="str">
        <f t="shared" si="17"/>
        <v>600088</v>
      </c>
      <c r="D422" s="2" t="s">
        <v>0</v>
      </c>
    </row>
    <row r="423" spans="1:4" s="3" customFormat="1" ht="22.5" customHeight="1">
      <c r="A423" s="1" t="str">
        <f>"唐诗斯"</f>
        <v>唐诗斯</v>
      </c>
      <c r="B423" s="1" t="str">
        <f>"5860406023703"</f>
        <v>5860406023703</v>
      </c>
      <c r="C423" s="1" t="str">
        <f t="shared" si="17"/>
        <v>600088</v>
      </c>
      <c r="D423" s="2">
        <v>76</v>
      </c>
    </row>
    <row r="424" spans="1:4" s="3" customFormat="1" ht="22.5" customHeight="1">
      <c r="A424" s="1" t="str">
        <f>"杨欢"</f>
        <v>杨欢</v>
      </c>
      <c r="B424" s="1" t="str">
        <f>"5860406023705"</f>
        <v>5860406023705</v>
      </c>
      <c r="C424" s="1" t="str">
        <f t="shared" si="17"/>
        <v>600088</v>
      </c>
      <c r="D424" s="2">
        <v>78.67</v>
      </c>
    </row>
    <row r="425" spans="1:4" s="3" customFormat="1" ht="22.5" customHeight="1">
      <c r="A425" s="1" t="str">
        <f>"刘孟媛"</f>
        <v>刘孟媛</v>
      </c>
      <c r="B425" s="1" t="str">
        <f>"5860406023629"</f>
        <v>5860406023629</v>
      </c>
      <c r="C425" s="1" t="str">
        <f t="shared" si="17"/>
        <v>600088</v>
      </c>
      <c r="D425" s="2">
        <v>76.67</v>
      </c>
    </row>
    <row r="426" spans="1:4" s="3" customFormat="1" ht="22.5" customHeight="1">
      <c r="A426" s="1" t="str">
        <f>"陈虹丹"</f>
        <v>陈虹丹</v>
      </c>
      <c r="B426" s="1" t="str">
        <f>"5860406023712"</f>
        <v>5860406023712</v>
      </c>
      <c r="C426" s="1" t="str">
        <f t="shared" si="17"/>
        <v>600088</v>
      </c>
      <c r="D426" s="2">
        <v>76</v>
      </c>
    </row>
    <row r="427" spans="1:4" s="3" customFormat="1" ht="22.5" customHeight="1">
      <c r="A427" s="1" t="str">
        <f>"邓翔丹"</f>
        <v>邓翔丹</v>
      </c>
      <c r="B427" s="1" t="str">
        <f>"5860406023718"</f>
        <v>5860406023718</v>
      </c>
      <c r="C427" s="1" t="str">
        <f t="shared" si="17"/>
        <v>600088</v>
      </c>
      <c r="D427" s="2">
        <v>79.33</v>
      </c>
    </row>
    <row r="428" spans="1:4" s="3" customFormat="1" ht="22.5" customHeight="1">
      <c r="A428" s="1" t="str">
        <f>"周文淑"</f>
        <v>周文淑</v>
      </c>
      <c r="B428" s="1" t="str">
        <f>"5860406023724"</f>
        <v>5860406023724</v>
      </c>
      <c r="C428" s="1" t="str">
        <f t="shared" si="17"/>
        <v>600088</v>
      </c>
      <c r="D428" s="2" t="s">
        <v>0</v>
      </c>
    </row>
    <row r="429" spans="1:4" s="3" customFormat="1" ht="22.5" customHeight="1">
      <c r="A429" s="1" t="str">
        <f>"李立恒"</f>
        <v>李立恒</v>
      </c>
      <c r="B429" s="1" t="str">
        <f>"5860406023729"</f>
        <v>5860406023729</v>
      </c>
      <c r="C429" s="1" t="str">
        <f t="shared" si="17"/>
        <v>600088</v>
      </c>
      <c r="D429" s="2" t="s">
        <v>0</v>
      </c>
    </row>
    <row r="430" spans="1:4" s="3" customFormat="1" ht="22.5" customHeight="1">
      <c r="A430" s="1" t="str">
        <f>"李娟"</f>
        <v>李娟</v>
      </c>
      <c r="B430" s="1" t="str">
        <f>"5860406023805"</f>
        <v>5860406023805</v>
      </c>
      <c r="C430" s="1" t="str">
        <f t="shared" si="17"/>
        <v>600088</v>
      </c>
      <c r="D430" s="2">
        <v>77.33</v>
      </c>
    </row>
    <row r="431" spans="1:4" s="3" customFormat="1" ht="22.5" customHeight="1">
      <c r="A431" s="1" t="str">
        <f>"贾敏"</f>
        <v>贾敏</v>
      </c>
      <c r="B431" s="1" t="str">
        <f>"5860406023813"</f>
        <v>5860406023813</v>
      </c>
      <c r="C431" s="1" t="str">
        <f t="shared" si="17"/>
        <v>600088</v>
      </c>
      <c r="D431" s="2">
        <v>80.67</v>
      </c>
    </row>
    <row r="432" spans="1:4" s="3" customFormat="1" ht="22.5" customHeight="1">
      <c r="A432" s="1" t="str">
        <f>"谢红梅"</f>
        <v>谢红梅</v>
      </c>
      <c r="B432" s="1" t="str">
        <f>"5860406023917"</f>
        <v>5860406023917</v>
      </c>
      <c r="C432" s="1" t="str">
        <f aca="true" t="shared" si="18" ref="C432:C458">"600089"</f>
        <v>600089</v>
      </c>
      <c r="D432" s="2">
        <v>84.73</v>
      </c>
    </row>
    <row r="433" spans="1:4" s="3" customFormat="1" ht="22.5" customHeight="1">
      <c r="A433" s="1" t="str">
        <f>"蒲芹"</f>
        <v>蒲芹</v>
      </c>
      <c r="B433" s="1" t="str">
        <f>"5860406023928"</f>
        <v>5860406023928</v>
      </c>
      <c r="C433" s="1" t="str">
        <f t="shared" si="18"/>
        <v>600089</v>
      </c>
      <c r="D433" s="2">
        <v>81.37</v>
      </c>
    </row>
    <row r="434" spans="1:4" s="3" customFormat="1" ht="22.5" customHeight="1">
      <c r="A434" s="1" t="str">
        <f>"蒋梦琪"</f>
        <v>蒋梦琪</v>
      </c>
      <c r="B434" s="1" t="str">
        <f>"5860406023926"</f>
        <v>5860406023926</v>
      </c>
      <c r="C434" s="1" t="str">
        <f t="shared" si="18"/>
        <v>600089</v>
      </c>
      <c r="D434" s="2">
        <v>84.13</v>
      </c>
    </row>
    <row r="435" spans="1:4" s="3" customFormat="1" ht="22.5" customHeight="1">
      <c r="A435" s="1" t="str">
        <f>"吴敏"</f>
        <v>吴敏</v>
      </c>
      <c r="B435" s="1" t="str">
        <f>"5860406023916"</f>
        <v>5860406023916</v>
      </c>
      <c r="C435" s="1" t="str">
        <f t="shared" si="18"/>
        <v>600089</v>
      </c>
      <c r="D435" s="2">
        <v>83.67</v>
      </c>
    </row>
    <row r="436" spans="1:4" s="3" customFormat="1" ht="22.5" customHeight="1">
      <c r="A436" s="1" t="str">
        <f>"刘鸿雁"</f>
        <v>刘鸿雁</v>
      </c>
      <c r="B436" s="1" t="str">
        <f>"5860406024001"</f>
        <v>5860406024001</v>
      </c>
      <c r="C436" s="1" t="str">
        <f t="shared" si="18"/>
        <v>600089</v>
      </c>
      <c r="D436" s="2">
        <v>85.17</v>
      </c>
    </row>
    <row r="437" spans="1:4" s="3" customFormat="1" ht="22.5" customHeight="1">
      <c r="A437" s="1" t="str">
        <f>"喻琴"</f>
        <v>喻琴</v>
      </c>
      <c r="B437" s="1" t="str">
        <f>"5860406023915"</f>
        <v>5860406023915</v>
      </c>
      <c r="C437" s="1" t="str">
        <f t="shared" si="18"/>
        <v>600089</v>
      </c>
      <c r="D437" s="2">
        <v>81.77</v>
      </c>
    </row>
    <row r="438" spans="1:4" s="3" customFormat="1" ht="22.5" customHeight="1">
      <c r="A438" s="1" t="str">
        <f>"李仕全"</f>
        <v>李仕全</v>
      </c>
      <c r="B438" s="1" t="str">
        <f>"5860406023929"</f>
        <v>5860406023929</v>
      </c>
      <c r="C438" s="1" t="str">
        <f t="shared" si="18"/>
        <v>600089</v>
      </c>
      <c r="D438" s="2">
        <v>84.27</v>
      </c>
    </row>
    <row r="439" spans="1:4" s="3" customFormat="1" ht="22.5" customHeight="1">
      <c r="A439" s="1" t="str">
        <f>"范冬梅"</f>
        <v>范冬梅</v>
      </c>
      <c r="B439" s="1" t="str">
        <f>"5860406023920"</f>
        <v>5860406023920</v>
      </c>
      <c r="C439" s="1" t="str">
        <f t="shared" si="18"/>
        <v>600089</v>
      </c>
      <c r="D439" s="2">
        <v>80.67</v>
      </c>
    </row>
    <row r="440" spans="1:4" s="3" customFormat="1" ht="22.5" customHeight="1">
      <c r="A440" s="1" t="str">
        <f>"邓露"</f>
        <v>邓露</v>
      </c>
      <c r="B440" s="1" t="str">
        <f>"5860406023922"</f>
        <v>5860406023922</v>
      </c>
      <c r="C440" s="1" t="str">
        <f t="shared" si="18"/>
        <v>600089</v>
      </c>
      <c r="D440" s="2">
        <v>84</v>
      </c>
    </row>
    <row r="441" spans="1:4" s="3" customFormat="1" ht="22.5" customHeight="1">
      <c r="A441" s="1" t="str">
        <f>"罗娜"</f>
        <v>罗娜</v>
      </c>
      <c r="B441" s="1" t="str">
        <f>"5860406024003"</f>
        <v>5860406024003</v>
      </c>
      <c r="C441" s="1" t="str">
        <f t="shared" si="18"/>
        <v>600089</v>
      </c>
      <c r="D441" s="2">
        <v>84.63</v>
      </c>
    </row>
    <row r="442" spans="1:4" s="3" customFormat="1" ht="22.5" customHeight="1">
      <c r="A442" s="1" t="str">
        <f>"李波"</f>
        <v>李波</v>
      </c>
      <c r="B442" s="1" t="str">
        <f>"5860406023908"</f>
        <v>5860406023908</v>
      </c>
      <c r="C442" s="1" t="str">
        <f t="shared" si="18"/>
        <v>600089</v>
      </c>
      <c r="D442" s="2">
        <v>78.33</v>
      </c>
    </row>
    <row r="443" spans="1:4" s="3" customFormat="1" ht="22.5" customHeight="1">
      <c r="A443" s="1" t="str">
        <f>"罗钦月"</f>
        <v>罗钦月</v>
      </c>
      <c r="B443" s="1" t="str">
        <f>"5860406024012"</f>
        <v>5860406024012</v>
      </c>
      <c r="C443" s="1" t="str">
        <f t="shared" si="18"/>
        <v>600089</v>
      </c>
      <c r="D443" s="2">
        <v>82.77</v>
      </c>
    </row>
    <row r="444" spans="1:4" s="3" customFormat="1" ht="22.5" customHeight="1">
      <c r="A444" s="1" t="str">
        <f>"陈鑫"</f>
        <v>陈鑫</v>
      </c>
      <c r="B444" s="1" t="str">
        <f>"5860406023913"</f>
        <v>5860406023913</v>
      </c>
      <c r="C444" s="1" t="str">
        <f t="shared" si="18"/>
        <v>600089</v>
      </c>
      <c r="D444" s="2">
        <v>84.43</v>
      </c>
    </row>
    <row r="445" spans="1:4" s="3" customFormat="1" ht="22.5" customHeight="1">
      <c r="A445" s="1" t="str">
        <f>"周远航"</f>
        <v>周远航</v>
      </c>
      <c r="B445" s="1" t="str">
        <f>"5860406023930"</f>
        <v>5860406023930</v>
      </c>
      <c r="C445" s="1" t="str">
        <f t="shared" si="18"/>
        <v>600089</v>
      </c>
      <c r="D445" s="2">
        <v>83.83</v>
      </c>
    </row>
    <row r="446" spans="1:4" s="3" customFormat="1" ht="22.5" customHeight="1">
      <c r="A446" s="1" t="str">
        <f>"蒋红梅"</f>
        <v>蒋红梅</v>
      </c>
      <c r="B446" s="1" t="str">
        <f>"5860406024007"</f>
        <v>5860406024007</v>
      </c>
      <c r="C446" s="1" t="str">
        <f t="shared" si="18"/>
        <v>600089</v>
      </c>
      <c r="D446" s="2">
        <v>80.87</v>
      </c>
    </row>
    <row r="447" spans="1:4" s="3" customFormat="1" ht="22.5" customHeight="1">
      <c r="A447" s="1" t="str">
        <f>"陈亭西"</f>
        <v>陈亭西</v>
      </c>
      <c r="B447" s="1" t="str">
        <f>"5860406024014"</f>
        <v>5860406024014</v>
      </c>
      <c r="C447" s="1" t="str">
        <f t="shared" si="18"/>
        <v>600089</v>
      </c>
      <c r="D447" s="2">
        <v>85.17</v>
      </c>
    </row>
    <row r="448" spans="1:4" s="3" customFormat="1" ht="22.5" customHeight="1">
      <c r="A448" s="1" t="str">
        <f>"童川"</f>
        <v>童川</v>
      </c>
      <c r="B448" s="1" t="str">
        <f>"5860406023914"</f>
        <v>5860406023914</v>
      </c>
      <c r="C448" s="1" t="str">
        <f t="shared" si="18"/>
        <v>600089</v>
      </c>
      <c r="D448" s="2">
        <v>79.67</v>
      </c>
    </row>
    <row r="449" spans="1:4" s="3" customFormat="1" ht="22.5" customHeight="1">
      <c r="A449" s="1" t="str">
        <f>"易杨"</f>
        <v>易杨</v>
      </c>
      <c r="B449" s="1" t="str">
        <f>"5860406023918"</f>
        <v>5860406023918</v>
      </c>
      <c r="C449" s="1" t="str">
        <f t="shared" si="18"/>
        <v>600089</v>
      </c>
      <c r="D449" s="2">
        <v>83</v>
      </c>
    </row>
    <row r="450" spans="1:4" s="3" customFormat="1" ht="22.5" customHeight="1">
      <c r="A450" s="1" t="str">
        <f>"冯斌"</f>
        <v>冯斌</v>
      </c>
      <c r="B450" s="1" t="str">
        <f>"5860406024005"</f>
        <v>5860406024005</v>
      </c>
      <c r="C450" s="1" t="str">
        <f t="shared" si="18"/>
        <v>600089</v>
      </c>
      <c r="D450" s="2">
        <v>77.67</v>
      </c>
    </row>
    <row r="451" spans="1:4" s="3" customFormat="1" ht="22.5" customHeight="1">
      <c r="A451" s="1" t="str">
        <f>"蒋天莲"</f>
        <v>蒋天莲</v>
      </c>
      <c r="B451" s="1" t="str">
        <f>"5860406023912"</f>
        <v>5860406023912</v>
      </c>
      <c r="C451" s="1" t="str">
        <f t="shared" si="18"/>
        <v>600089</v>
      </c>
      <c r="D451" s="2">
        <v>78.1</v>
      </c>
    </row>
    <row r="452" spans="1:4" s="3" customFormat="1" ht="22.5" customHeight="1">
      <c r="A452" s="1" t="str">
        <f>"杜小清"</f>
        <v>杜小清</v>
      </c>
      <c r="B452" s="1" t="str">
        <f>"5860406023910"</f>
        <v>5860406023910</v>
      </c>
      <c r="C452" s="1" t="str">
        <f t="shared" si="18"/>
        <v>600089</v>
      </c>
      <c r="D452" s="2">
        <v>71</v>
      </c>
    </row>
    <row r="453" spans="1:4" s="3" customFormat="1" ht="22.5" customHeight="1">
      <c r="A453" s="1" t="str">
        <f>"胡旭苹"</f>
        <v>胡旭苹</v>
      </c>
      <c r="B453" s="1" t="str">
        <f>"5860406023927"</f>
        <v>5860406023927</v>
      </c>
      <c r="C453" s="1" t="str">
        <f t="shared" si="18"/>
        <v>600089</v>
      </c>
      <c r="D453" s="2">
        <v>77.83</v>
      </c>
    </row>
    <row r="454" spans="1:4" s="3" customFormat="1" ht="22.5" customHeight="1">
      <c r="A454" s="1" t="str">
        <f>"李钱"</f>
        <v>李钱</v>
      </c>
      <c r="B454" s="1" t="str">
        <f>"5860406023919"</f>
        <v>5860406023919</v>
      </c>
      <c r="C454" s="1" t="str">
        <f t="shared" si="18"/>
        <v>600089</v>
      </c>
      <c r="D454" s="2">
        <v>74.67</v>
      </c>
    </row>
    <row r="455" spans="1:4" s="3" customFormat="1" ht="22.5" customHeight="1">
      <c r="A455" s="1" t="str">
        <f>"陈美蓁"</f>
        <v>陈美蓁</v>
      </c>
      <c r="B455" s="1" t="str">
        <f>"5860406023924"</f>
        <v>5860406023924</v>
      </c>
      <c r="C455" s="1" t="str">
        <f t="shared" si="18"/>
        <v>600089</v>
      </c>
      <c r="D455" s="2">
        <v>71.67</v>
      </c>
    </row>
    <row r="456" spans="1:4" s="3" customFormat="1" ht="22.5" customHeight="1">
      <c r="A456" s="1" t="str">
        <f>"陈司琪"</f>
        <v>陈司琪</v>
      </c>
      <c r="B456" s="1" t="str">
        <f>"5860406024010"</f>
        <v>5860406024010</v>
      </c>
      <c r="C456" s="1" t="str">
        <f t="shared" si="18"/>
        <v>600089</v>
      </c>
      <c r="D456" s="2">
        <v>79.5</v>
      </c>
    </row>
    <row r="457" spans="1:4" s="3" customFormat="1" ht="22.5" customHeight="1">
      <c r="A457" s="1" t="str">
        <f>"李祖淼"</f>
        <v>李祖淼</v>
      </c>
      <c r="B457" s="1" t="str">
        <f>"5860406024002"</f>
        <v>5860406024002</v>
      </c>
      <c r="C457" s="1" t="str">
        <f t="shared" si="18"/>
        <v>600089</v>
      </c>
      <c r="D457" s="2">
        <v>81.77</v>
      </c>
    </row>
    <row r="458" spans="1:4" s="3" customFormat="1" ht="22.5" customHeight="1">
      <c r="A458" s="1" t="str">
        <f>"任晓玲"</f>
        <v>任晓玲</v>
      </c>
      <c r="B458" s="1" t="str">
        <f>"5860406024004"</f>
        <v>5860406024004</v>
      </c>
      <c r="C458" s="1" t="str">
        <f t="shared" si="18"/>
        <v>600089</v>
      </c>
      <c r="D458" s="2">
        <v>78.33</v>
      </c>
    </row>
    <row r="459" spans="1:4" s="3" customFormat="1" ht="22.5" customHeight="1">
      <c r="A459" s="1" t="str">
        <f>"钟元海"</f>
        <v>钟元海</v>
      </c>
      <c r="B459" s="1" t="str">
        <f>"5860406011101"</f>
        <v>5860406011101</v>
      </c>
      <c r="C459" s="1" t="str">
        <f aca="true" t="shared" si="19" ref="C459:C464">"600008"</f>
        <v>600008</v>
      </c>
      <c r="D459" s="2">
        <v>88</v>
      </c>
    </row>
    <row r="460" spans="1:4" s="3" customFormat="1" ht="22.5" customHeight="1">
      <c r="A460" s="1" t="str">
        <f>"颜玺"</f>
        <v>颜玺</v>
      </c>
      <c r="B460" s="1" t="str">
        <f>"5860406011120"</f>
        <v>5860406011120</v>
      </c>
      <c r="C460" s="1" t="str">
        <f t="shared" si="19"/>
        <v>600008</v>
      </c>
      <c r="D460" s="2">
        <v>83.33</v>
      </c>
    </row>
    <row r="461" spans="1:4" s="3" customFormat="1" ht="22.5" customHeight="1">
      <c r="A461" s="1" t="str">
        <f>"郑辉"</f>
        <v>郑辉</v>
      </c>
      <c r="B461" s="1" t="str">
        <f>"5860406011119"</f>
        <v>5860406011119</v>
      </c>
      <c r="C461" s="1" t="str">
        <f t="shared" si="19"/>
        <v>600008</v>
      </c>
      <c r="D461" s="2">
        <v>76.67</v>
      </c>
    </row>
    <row r="462" spans="1:4" s="3" customFormat="1" ht="22.5" customHeight="1">
      <c r="A462" s="1" t="str">
        <f>"郝全祥"</f>
        <v>郝全祥</v>
      </c>
      <c r="B462" s="1" t="str">
        <f>"5860406011124"</f>
        <v>5860406011124</v>
      </c>
      <c r="C462" s="1" t="str">
        <f t="shared" si="19"/>
        <v>600008</v>
      </c>
      <c r="D462" s="2">
        <v>82</v>
      </c>
    </row>
    <row r="463" spans="1:4" s="3" customFormat="1" ht="22.5" customHeight="1">
      <c r="A463" s="1" t="str">
        <f>"沈生春"</f>
        <v>沈生春</v>
      </c>
      <c r="B463" s="1" t="str">
        <f>"5860406011105"</f>
        <v>5860406011105</v>
      </c>
      <c r="C463" s="1" t="str">
        <f t="shared" si="19"/>
        <v>600008</v>
      </c>
      <c r="D463" s="2">
        <v>84</v>
      </c>
    </row>
    <row r="464" spans="1:4" s="3" customFormat="1" ht="22.5" customHeight="1">
      <c r="A464" s="1" t="str">
        <f>"王洪"</f>
        <v>王洪</v>
      </c>
      <c r="B464" s="1" t="str">
        <f>"5860406011107"</f>
        <v>5860406011107</v>
      </c>
      <c r="C464" s="1" t="str">
        <f t="shared" si="19"/>
        <v>600008</v>
      </c>
      <c r="D464" s="2">
        <v>80.67</v>
      </c>
    </row>
    <row r="465" spans="1:4" s="3" customFormat="1" ht="22.5" customHeight="1">
      <c r="A465" s="1" t="str">
        <f>"何绪平"</f>
        <v>何绪平</v>
      </c>
      <c r="B465" s="1" t="str">
        <f>"5860406011204"</f>
        <v>5860406011204</v>
      </c>
      <c r="C465" s="1" t="str">
        <f>"600010"</f>
        <v>600010</v>
      </c>
      <c r="D465" s="2">
        <v>83</v>
      </c>
    </row>
    <row r="466" spans="1:4" s="3" customFormat="1" ht="22.5" customHeight="1">
      <c r="A466" s="1" t="str">
        <f>"范用兴"</f>
        <v>范用兴</v>
      </c>
      <c r="B466" s="1" t="str">
        <f>"5860406011205"</f>
        <v>5860406011205</v>
      </c>
      <c r="C466" s="1" t="str">
        <f>"600010"</f>
        <v>600010</v>
      </c>
      <c r="D466" s="2">
        <v>80.67</v>
      </c>
    </row>
    <row r="467" spans="1:4" s="3" customFormat="1" ht="22.5" customHeight="1">
      <c r="A467" s="1" t="str">
        <f>"陈永燕"</f>
        <v>陈永燕</v>
      </c>
      <c r="B467" s="1" t="str">
        <f>"5860406013323"</f>
        <v>5860406013323</v>
      </c>
      <c r="C467" s="1" t="str">
        <f aca="true" t="shared" si="20" ref="C467:C489">"600063"</f>
        <v>600063</v>
      </c>
      <c r="D467" s="2">
        <v>83</v>
      </c>
    </row>
    <row r="468" spans="1:4" s="3" customFormat="1" ht="22.5" customHeight="1">
      <c r="A468" s="1" t="str">
        <f>"李桃"</f>
        <v>李桃</v>
      </c>
      <c r="B468" s="1" t="str">
        <f>"5860406013316"</f>
        <v>5860406013316</v>
      </c>
      <c r="C468" s="1" t="str">
        <f t="shared" si="20"/>
        <v>600063</v>
      </c>
      <c r="D468" s="2">
        <v>81</v>
      </c>
    </row>
    <row r="469" spans="1:4" s="3" customFormat="1" ht="22.5" customHeight="1">
      <c r="A469" s="1" t="str">
        <f>"冯林"</f>
        <v>冯林</v>
      </c>
      <c r="B469" s="1" t="str">
        <f>"5860406013330"</f>
        <v>5860406013330</v>
      </c>
      <c r="C469" s="1" t="str">
        <f t="shared" si="20"/>
        <v>600063</v>
      </c>
      <c r="D469" s="2">
        <v>82.67</v>
      </c>
    </row>
    <row r="470" spans="1:4" s="3" customFormat="1" ht="22.5" customHeight="1">
      <c r="A470" s="1" t="str">
        <f>"罗睿"</f>
        <v>罗睿</v>
      </c>
      <c r="B470" s="1" t="str">
        <f>"5860406013212"</f>
        <v>5860406013212</v>
      </c>
      <c r="C470" s="1" t="str">
        <f t="shared" si="20"/>
        <v>600063</v>
      </c>
      <c r="D470" s="2">
        <v>83.67</v>
      </c>
    </row>
    <row r="471" spans="1:4" s="3" customFormat="1" ht="22.5" customHeight="1">
      <c r="A471" s="1" t="str">
        <f>"谢青"</f>
        <v>谢青</v>
      </c>
      <c r="B471" s="1" t="str">
        <f>"5860406013403"</f>
        <v>5860406013403</v>
      </c>
      <c r="C471" s="1" t="str">
        <f t="shared" si="20"/>
        <v>600063</v>
      </c>
      <c r="D471" s="2">
        <v>82.33</v>
      </c>
    </row>
    <row r="472" spans="1:4" s="3" customFormat="1" ht="22.5" customHeight="1">
      <c r="A472" s="1" t="str">
        <f>"余丹丹"</f>
        <v>余丹丹</v>
      </c>
      <c r="B472" s="1" t="str">
        <f>"5860406013313"</f>
        <v>5860406013313</v>
      </c>
      <c r="C472" s="1" t="str">
        <f t="shared" si="20"/>
        <v>600063</v>
      </c>
      <c r="D472" s="2">
        <v>84.33</v>
      </c>
    </row>
    <row r="473" spans="1:4" s="3" customFormat="1" ht="22.5" customHeight="1">
      <c r="A473" s="1" t="str">
        <f>"黄小林"</f>
        <v>黄小林</v>
      </c>
      <c r="B473" s="1" t="str">
        <f>"5860406013318"</f>
        <v>5860406013318</v>
      </c>
      <c r="C473" s="1" t="str">
        <f t="shared" si="20"/>
        <v>600063</v>
      </c>
      <c r="D473" s="2">
        <v>83</v>
      </c>
    </row>
    <row r="474" spans="1:4" s="3" customFormat="1" ht="22.5" customHeight="1">
      <c r="A474" s="1" t="str">
        <f>"黄涛"</f>
        <v>黄涛</v>
      </c>
      <c r="B474" s="1" t="str">
        <f>"5860406013222"</f>
        <v>5860406013222</v>
      </c>
      <c r="C474" s="1" t="str">
        <f t="shared" si="20"/>
        <v>600063</v>
      </c>
      <c r="D474" s="2">
        <v>85</v>
      </c>
    </row>
    <row r="475" spans="1:4" s="3" customFormat="1" ht="22.5" customHeight="1">
      <c r="A475" s="1" t="str">
        <f>"李杨彪"</f>
        <v>李杨彪</v>
      </c>
      <c r="B475" s="1" t="str">
        <f>"5860406013320"</f>
        <v>5860406013320</v>
      </c>
      <c r="C475" s="1" t="str">
        <f t="shared" si="20"/>
        <v>600063</v>
      </c>
      <c r="D475" s="2">
        <v>81.67</v>
      </c>
    </row>
    <row r="476" spans="1:4" s="3" customFormat="1" ht="22.5" customHeight="1">
      <c r="A476" s="1" t="str">
        <f>"刘帅"</f>
        <v>刘帅</v>
      </c>
      <c r="B476" s="1" t="str">
        <f>"5860406013215"</f>
        <v>5860406013215</v>
      </c>
      <c r="C476" s="1" t="str">
        <f t="shared" si="20"/>
        <v>600063</v>
      </c>
      <c r="D476" s="2">
        <v>78</v>
      </c>
    </row>
    <row r="477" spans="1:4" s="3" customFormat="1" ht="22.5" customHeight="1">
      <c r="A477" s="1" t="str">
        <f>"吴妮"</f>
        <v>吴妮</v>
      </c>
      <c r="B477" s="1" t="str">
        <f>"5860406013328"</f>
        <v>5860406013328</v>
      </c>
      <c r="C477" s="1" t="str">
        <f t="shared" si="20"/>
        <v>600063</v>
      </c>
      <c r="D477" s="2">
        <v>83.33</v>
      </c>
    </row>
    <row r="478" spans="1:4" s="3" customFormat="1" ht="22.5" customHeight="1">
      <c r="A478" s="1" t="str">
        <f>"赵婷婷"</f>
        <v>赵婷婷</v>
      </c>
      <c r="B478" s="1" t="str">
        <f>"5860406013227"</f>
        <v>5860406013227</v>
      </c>
      <c r="C478" s="1" t="str">
        <f t="shared" si="20"/>
        <v>600063</v>
      </c>
      <c r="D478" s="2" t="s">
        <v>0</v>
      </c>
    </row>
    <row r="479" spans="1:4" s="3" customFormat="1" ht="22.5" customHeight="1">
      <c r="A479" s="1" t="str">
        <f>"郑朝明"</f>
        <v>郑朝明</v>
      </c>
      <c r="B479" s="1" t="str">
        <f>"5860406013304"</f>
        <v>5860406013304</v>
      </c>
      <c r="C479" s="1" t="str">
        <f t="shared" si="20"/>
        <v>600063</v>
      </c>
      <c r="D479" s="2">
        <v>71</v>
      </c>
    </row>
    <row r="480" spans="1:4" s="3" customFormat="1" ht="22.5" customHeight="1">
      <c r="A480" s="1" t="str">
        <f>"何军"</f>
        <v>何军</v>
      </c>
      <c r="B480" s="1" t="str">
        <f>"5860406013309"</f>
        <v>5860406013309</v>
      </c>
      <c r="C480" s="1" t="str">
        <f t="shared" si="20"/>
        <v>600063</v>
      </c>
      <c r="D480" s="2" t="s">
        <v>0</v>
      </c>
    </row>
    <row r="481" spans="1:4" s="3" customFormat="1" ht="22.5" customHeight="1">
      <c r="A481" s="1" t="str">
        <f>"刘圣昌"</f>
        <v>刘圣昌</v>
      </c>
      <c r="B481" s="1" t="str">
        <f>"5860406013327"</f>
        <v>5860406013327</v>
      </c>
      <c r="C481" s="1" t="str">
        <f t="shared" si="20"/>
        <v>600063</v>
      </c>
      <c r="D481" s="2">
        <v>80</v>
      </c>
    </row>
    <row r="482" spans="1:4" s="3" customFormat="1" ht="22.5" customHeight="1">
      <c r="A482" s="1" t="str">
        <f>"肖宇"</f>
        <v>肖宇</v>
      </c>
      <c r="B482" s="1" t="str">
        <f>"5860406013219"</f>
        <v>5860406013219</v>
      </c>
      <c r="C482" s="1" t="str">
        <f t="shared" si="20"/>
        <v>600063</v>
      </c>
      <c r="D482" s="2">
        <v>80</v>
      </c>
    </row>
    <row r="483" spans="1:4" s="3" customFormat="1" ht="22.5" customHeight="1">
      <c r="A483" s="1" t="str">
        <f>"杨展"</f>
        <v>杨展</v>
      </c>
      <c r="B483" s="1" t="str">
        <f>"5860406013221"</f>
        <v>5860406013221</v>
      </c>
      <c r="C483" s="1" t="str">
        <f t="shared" si="20"/>
        <v>600063</v>
      </c>
      <c r="D483" s="2">
        <v>80.33</v>
      </c>
    </row>
    <row r="484" spans="1:4" s="3" customFormat="1" ht="22.5" customHeight="1">
      <c r="A484" s="1" t="str">
        <f>"李玲"</f>
        <v>李玲</v>
      </c>
      <c r="B484" s="1" t="str">
        <f>"5860406013306"</f>
        <v>5860406013306</v>
      </c>
      <c r="C484" s="1" t="str">
        <f t="shared" si="20"/>
        <v>600063</v>
      </c>
      <c r="D484" s="2" t="s">
        <v>0</v>
      </c>
    </row>
    <row r="485" spans="1:4" s="3" customFormat="1" ht="22.5" customHeight="1">
      <c r="A485" s="1" t="str">
        <f>"张瑞贤"</f>
        <v>张瑞贤</v>
      </c>
      <c r="B485" s="1" t="str">
        <f>"5860406013310"</f>
        <v>5860406013310</v>
      </c>
      <c r="C485" s="1" t="str">
        <f t="shared" si="20"/>
        <v>600063</v>
      </c>
      <c r="D485" s="2">
        <v>82.67</v>
      </c>
    </row>
    <row r="486" spans="1:4" s="3" customFormat="1" ht="22.5" customHeight="1">
      <c r="A486" s="1" t="str">
        <f>"魏国峰"</f>
        <v>魏国峰</v>
      </c>
      <c r="B486" s="1" t="str">
        <f>"5860406013209"</f>
        <v>5860406013209</v>
      </c>
      <c r="C486" s="1" t="str">
        <f t="shared" si="20"/>
        <v>600063</v>
      </c>
      <c r="D486" s="2" t="s">
        <v>0</v>
      </c>
    </row>
    <row r="487" spans="1:4" s="3" customFormat="1" ht="22.5" customHeight="1">
      <c r="A487" s="1" t="str">
        <f>"罗佳秋"</f>
        <v>罗佳秋</v>
      </c>
      <c r="B487" s="1" t="str">
        <f>"5860406013225"</f>
        <v>5860406013225</v>
      </c>
      <c r="C487" s="1" t="str">
        <f t="shared" si="20"/>
        <v>600063</v>
      </c>
      <c r="D487" s="2">
        <v>82</v>
      </c>
    </row>
    <row r="488" spans="1:4" s="3" customFormat="1" ht="22.5" customHeight="1">
      <c r="A488" s="1" t="str">
        <f>"陈波"</f>
        <v>陈波</v>
      </c>
      <c r="B488" s="1" t="str">
        <f>"5860406013203"</f>
        <v>5860406013203</v>
      </c>
      <c r="C488" s="1" t="str">
        <f t="shared" si="20"/>
        <v>600063</v>
      </c>
      <c r="D488" s="2">
        <v>78</v>
      </c>
    </row>
    <row r="489" spans="1:4" s="3" customFormat="1" ht="22.5" customHeight="1">
      <c r="A489" s="1" t="str">
        <f>"贺琅"</f>
        <v>贺琅</v>
      </c>
      <c r="B489" s="1" t="str">
        <f>"5860406013413"</f>
        <v>5860406013413</v>
      </c>
      <c r="C489" s="1" t="str">
        <f t="shared" si="20"/>
        <v>600063</v>
      </c>
      <c r="D489" s="2">
        <v>77</v>
      </c>
    </row>
    <row r="490" spans="1:4" s="3" customFormat="1" ht="22.5" customHeight="1">
      <c r="A490" s="1" t="str">
        <f>"周小隆"</f>
        <v>周小隆</v>
      </c>
      <c r="B490" s="1" t="str">
        <f>"5860406023113"</f>
        <v>5860406023113</v>
      </c>
      <c r="C490" s="1" t="str">
        <f aca="true" t="shared" si="21" ref="C490:C523">"600085"</f>
        <v>600085</v>
      </c>
      <c r="D490" s="2">
        <v>78.33</v>
      </c>
    </row>
    <row r="491" spans="1:4" s="3" customFormat="1" ht="22.5" customHeight="1">
      <c r="A491" s="1" t="str">
        <f>"彭波"</f>
        <v>彭波</v>
      </c>
      <c r="B491" s="1" t="str">
        <f>"5860406023125"</f>
        <v>5860406023125</v>
      </c>
      <c r="C491" s="1" t="str">
        <f t="shared" si="21"/>
        <v>600085</v>
      </c>
      <c r="D491" s="2">
        <v>81.67</v>
      </c>
    </row>
    <row r="492" spans="1:4" s="3" customFormat="1" ht="22.5" customHeight="1">
      <c r="A492" s="1" t="str">
        <f>"刘姚"</f>
        <v>刘姚</v>
      </c>
      <c r="B492" s="1" t="str">
        <f>"5860406023011"</f>
        <v>5860406023011</v>
      </c>
      <c r="C492" s="1" t="str">
        <f t="shared" si="21"/>
        <v>600085</v>
      </c>
      <c r="D492" s="2">
        <v>85.33</v>
      </c>
    </row>
    <row r="493" spans="1:4" s="3" customFormat="1" ht="22.5" customHeight="1">
      <c r="A493" s="1" t="str">
        <f>"何鑫宇"</f>
        <v>何鑫宇</v>
      </c>
      <c r="B493" s="1" t="str">
        <f>"5860406023107"</f>
        <v>5860406023107</v>
      </c>
      <c r="C493" s="1" t="str">
        <f t="shared" si="21"/>
        <v>600085</v>
      </c>
      <c r="D493" s="2">
        <v>82</v>
      </c>
    </row>
    <row r="494" spans="1:4" s="3" customFormat="1" ht="22.5" customHeight="1">
      <c r="A494" s="1" t="str">
        <f>"唐茂"</f>
        <v>唐茂</v>
      </c>
      <c r="B494" s="1" t="str">
        <f>"5860406023213"</f>
        <v>5860406023213</v>
      </c>
      <c r="C494" s="1" t="str">
        <f t="shared" si="21"/>
        <v>600085</v>
      </c>
      <c r="D494" s="2">
        <v>85</v>
      </c>
    </row>
    <row r="495" spans="1:4" s="3" customFormat="1" ht="22.5" customHeight="1">
      <c r="A495" s="1" t="str">
        <f>"向波"</f>
        <v>向波</v>
      </c>
      <c r="B495" s="1" t="str">
        <f>"5860406023106"</f>
        <v>5860406023106</v>
      </c>
      <c r="C495" s="1" t="str">
        <f t="shared" si="21"/>
        <v>600085</v>
      </c>
      <c r="D495" s="2">
        <v>75.33</v>
      </c>
    </row>
    <row r="496" spans="1:4" s="3" customFormat="1" ht="22.5" customHeight="1">
      <c r="A496" s="1" t="str">
        <f>"黄枭"</f>
        <v>黄枭</v>
      </c>
      <c r="B496" s="1" t="str">
        <f>"5860406023003"</f>
        <v>5860406023003</v>
      </c>
      <c r="C496" s="1" t="str">
        <f t="shared" si="21"/>
        <v>600085</v>
      </c>
      <c r="D496" s="2">
        <v>81</v>
      </c>
    </row>
    <row r="497" spans="1:4" s="3" customFormat="1" ht="22.5" customHeight="1">
      <c r="A497" s="1" t="str">
        <f>"彭茜"</f>
        <v>彭茜</v>
      </c>
      <c r="B497" s="1" t="str">
        <f>"5860406023016"</f>
        <v>5860406023016</v>
      </c>
      <c r="C497" s="1" t="str">
        <f t="shared" si="21"/>
        <v>600085</v>
      </c>
      <c r="D497" s="2">
        <v>83</v>
      </c>
    </row>
    <row r="498" spans="1:4" s="3" customFormat="1" ht="22.5" customHeight="1">
      <c r="A498" s="1" t="str">
        <f>"练高泽"</f>
        <v>练高泽</v>
      </c>
      <c r="B498" s="1" t="str">
        <f>"5860406023116"</f>
        <v>5860406023116</v>
      </c>
      <c r="C498" s="1" t="str">
        <f t="shared" si="21"/>
        <v>600085</v>
      </c>
      <c r="D498" s="2">
        <v>72.67</v>
      </c>
    </row>
    <row r="499" spans="1:4" s="3" customFormat="1" ht="22.5" customHeight="1">
      <c r="A499" s="1" t="str">
        <f>"寇小阳"</f>
        <v>寇小阳</v>
      </c>
      <c r="B499" s="1" t="str">
        <f>"5860406023027"</f>
        <v>5860406023027</v>
      </c>
      <c r="C499" s="1" t="str">
        <f t="shared" si="21"/>
        <v>600085</v>
      </c>
      <c r="D499" s="2">
        <v>76</v>
      </c>
    </row>
    <row r="500" spans="1:4" s="3" customFormat="1" ht="22.5" customHeight="1">
      <c r="A500" s="1" t="str">
        <f>"付裕财"</f>
        <v>付裕财</v>
      </c>
      <c r="B500" s="1" t="str">
        <f>"5860406023028"</f>
        <v>5860406023028</v>
      </c>
      <c r="C500" s="1" t="str">
        <f t="shared" si="21"/>
        <v>600085</v>
      </c>
      <c r="D500" s="2">
        <v>89</v>
      </c>
    </row>
    <row r="501" spans="1:4" s="3" customFormat="1" ht="22.5" customHeight="1">
      <c r="A501" s="1" t="str">
        <f>"王坤明"</f>
        <v>王坤明</v>
      </c>
      <c r="B501" s="1" t="str">
        <f>"5860406023101"</f>
        <v>5860406023101</v>
      </c>
      <c r="C501" s="1" t="str">
        <f t="shared" si="21"/>
        <v>600085</v>
      </c>
      <c r="D501" s="2">
        <v>85.33</v>
      </c>
    </row>
    <row r="502" spans="1:4" s="3" customFormat="1" ht="22.5" customHeight="1">
      <c r="A502" s="1" t="str">
        <f>"曾佳欣"</f>
        <v>曾佳欣</v>
      </c>
      <c r="B502" s="1" t="str">
        <f>"5860406023102"</f>
        <v>5860406023102</v>
      </c>
      <c r="C502" s="1" t="str">
        <f t="shared" si="21"/>
        <v>600085</v>
      </c>
      <c r="D502" s="2">
        <v>83</v>
      </c>
    </row>
    <row r="503" spans="1:4" s="3" customFormat="1" ht="22.5" customHeight="1">
      <c r="A503" s="1" t="str">
        <f>"陈冬"</f>
        <v>陈冬</v>
      </c>
      <c r="B503" s="1" t="str">
        <f>"5860406023110"</f>
        <v>5860406023110</v>
      </c>
      <c r="C503" s="1" t="str">
        <f t="shared" si="21"/>
        <v>600085</v>
      </c>
      <c r="D503" s="2">
        <v>85.67</v>
      </c>
    </row>
    <row r="504" spans="1:4" s="3" customFormat="1" ht="22.5" customHeight="1">
      <c r="A504" s="1" t="str">
        <f>"万科均"</f>
        <v>万科均</v>
      </c>
      <c r="B504" s="1" t="str">
        <f>"5860406023223"</f>
        <v>5860406023223</v>
      </c>
      <c r="C504" s="1" t="str">
        <f t="shared" si="21"/>
        <v>600085</v>
      </c>
      <c r="D504" s="2">
        <v>82.67</v>
      </c>
    </row>
    <row r="505" spans="1:4" s="3" customFormat="1" ht="22.5" customHeight="1">
      <c r="A505" s="1" t="str">
        <f>"向世银"</f>
        <v>向世银</v>
      </c>
      <c r="B505" s="1" t="str">
        <f>"5860406023111"</f>
        <v>5860406023111</v>
      </c>
      <c r="C505" s="1" t="str">
        <f t="shared" si="21"/>
        <v>600085</v>
      </c>
      <c r="D505" s="2">
        <v>74</v>
      </c>
    </row>
    <row r="506" spans="1:4" s="3" customFormat="1" ht="22.5" customHeight="1">
      <c r="A506" s="1" t="str">
        <f>"张卫星"</f>
        <v>张卫星</v>
      </c>
      <c r="B506" s="1" t="str">
        <f>"5860406023008"</f>
        <v>5860406023008</v>
      </c>
      <c r="C506" s="1" t="str">
        <f t="shared" si="21"/>
        <v>600085</v>
      </c>
      <c r="D506" s="2">
        <v>77.33</v>
      </c>
    </row>
    <row r="507" spans="1:4" s="3" customFormat="1" ht="22.5" customHeight="1">
      <c r="A507" s="1" t="str">
        <f>"李雄"</f>
        <v>李雄</v>
      </c>
      <c r="B507" s="1" t="str">
        <f>"5860406023104"</f>
        <v>5860406023104</v>
      </c>
      <c r="C507" s="1" t="str">
        <f t="shared" si="21"/>
        <v>600085</v>
      </c>
      <c r="D507" s="2">
        <v>80.33</v>
      </c>
    </row>
    <row r="508" spans="1:4" s="3" customFormat="1" ht="22.5" customHeight="1">
      <c r="A508" s="1" t="str">
        <f>"汪中刚"</f>
        <v>汪中刚</v>
      </c>
      <c r="B508" s="1" t="str">
        <f>"5860406023118"</f>
        <v>5860406023118</v>
      </c>
      <c r="C508" s="1" t="str">
        <f t="shared" si="21"/>
        <v>600085</v>
      </c>
      <c r="D508" s="2">
        <v>70.33</v>
      </c>
    </row>
    <row r="509" spans="1:4" s="3" customFormat="1" ht="22.5" customHeight="1">
      <c r="A509" s="1" t="str">
        <f>"邓先锋"</f>
        <v>邓先锋</v>
      </c>
      <c r="B509" s="1" t="str">
        <f>"5860406023208"</f>
        <v>5860406023208</v>
      </c>
      <c r="C509" s="1" t="str">
        <f t="shared" si="21"/>
        <v>600085</v>
      </c>
      <c r="D509" s="2" t="s">
        <v>0</v>
      </c>
    </row>
    <row r="510" spans="1:4" s="3" customFormat="1" ht="22.5" customHeight="1">
      <c r="A510" s="1" t="str">
        <f>"王申海"</f>
        <v>王申海</v>
      </c>
      <c r="B510" s="1" t="str">
        <f>"5860406023006"</f>
        <v>5860406023006</v>
      </c>
      <c r="C510" s="1" t="str">
        <f t="shared" si="21"/>
        <v>600085</v>
      </c>
      <c r="D510" s="2">
        <v>75.33</v>
      </c>
    </row>
    <row r="511" spans="1:4" s="3" customFormat="1" ht="22.5" customHeight="1">
      <c r="A511" s="1" t="str">
        <f>"谭世界"</f>
        <v>谭世界</v>
      </c>
      <c r="B511" s="1" t="str">
        <f>"5860406023015"</f>
        <v>5860406023015</v>
      </c>
      <c r="C511" s="1" t="str">
        <f t="shared" si="21"/>
        <v>600085</v>
      </c>
      <c r="D511" s="2">
        <v>77.33</v>
      </c>
    </row>
    <row r="512" spans="1:4" s="3" customFormat="1" ht="22.5" customHeight="1">
      <c r="A512" s="1" t="str">
        <f>"陈中巧"</f>
        <v>陈中巧</v>
      </c>
      <c r="B512" s="1" t="str">
        <f>"5860406023112"</f>
        <v>5860406023112</v>
      </c>
      <c r="C512" s="1" t="str">
        <f t="shared" si="21"/>
        <v>600085</v>
      </c>
      <c r="D512" s="2">
        <v>80.67</v>
      </c>
    </row>
    <row r="513" spans="1:4" s="3" customFormat="1" ht="22.5" customHeight="1">
      <c r="A513" s="1" t="str">
        <f>"梁承娇"</f>
        <v>梁承娇</v>
      </c>
      <c r="B513" s="1" t="str">
        <f>"5860406023117"</f>
        <v>5860406023117</v>
      </c>
      <c r="C513" s="1" t="str">
        <f t="shared" si="21"/>
        <v>600085</v>
      </c>
      <c r="D513" s="2">
        <v>84.33</v>
      </c>
    </row>
    <row r="514" spans="1:4" s="3" customFormat="1" ht="22.5" customHeight="1">
      <c r="A514" s="1" t="str">
        <f>"张陈"</f>
        <v>张陈</v>
      </c>
      <c r="B514" s="1" t="str">
        <f>"5860406023126"</f>
        <v>5860406023126</v>
      </c>
      <c r="C514" s="1" t="str">
        <f t="shared" si="21"/>
        <v>600085</v>
      </c>
      <c r="D514" s="2">
        <v>83.67</v>
      </c>
    </row>
    <row r="515" spans="1:4" s="3" customFormat="1" ht="22.5" customHeight="1">
      <c r="A515" s="1" t="str">
        <f>"全能亮"</f>
        <v>全能亮</v>
      </c>
      <c r="B515" s="1" t="str">
        <f>"5860406023127"</f>
        <v>5860406023127</v>
      </c>
      <c r="C515" s="1" t="str">
        <f t="shared" si="21"/>
        <v>600085</v>
      </c>
      <c r="D515" s="2">
        <v>81.33</v>
      </c>
    </row>
    <row r="516" spans="1:4" s="3" customFormat="1" ht="22.5" customHeight="1">
      <c r="A516" s="1" t="str">
        <f>"黄自登"</f>
        <v>黄自登</v>
      </c>
      <c r="B516" s="1" t="str">
        <f>"5860406023211"</f>
        <v>5860406023211</v>
      </c>
      <c r="C516" s="1" t="str">
        <f t="shared" si="21"/>
        <v>600085</v>
      </c>
      <c r="D516" s="2">
        <v>74.67</v>
      </c>
    </row>
    <row r="517" spans="1:4" s="3" customFormat="1" ht="22.5" customHeight="1">
      <c r="A517" s="1" t="str">
        <f>"张丽"</f>
        <v>张丽</v>
      </c>
      <c r="B517" s="1" t="str">
        <f>"5860406023105"</f>
        <v>5860406023105</v>
      </c>
      <c r="C517" s="1" t="str">
        <f t="shared" si="21"/>
        <v>600085</v>
      </c>
      <c r="D517" s="2" t="s">
        <v>0</v>
      </c>
    </row>
    <row r="518" spans="1:4" s="3" customFormat="1" ht="22.5" customHeight="1">
      <c r="A518" s="1" t="str">
        <f>"涂朝雄"</f>
        <v>涂朝雄</v>
      </c>
      <c r="B518" s="1" t="str">
        <f>"5860406023119"</f>
        <v>5860406023119</v>
      </c>
      <c r="C518" s="1" t="str">
        <f t="shared" si="21"/>
        <v>600085</v>
      </c>
      <c r="D518" s="2">
        <v>60</v>
      </c>
    </row>
    <row r="519" spans="1:4" s="3" customFormat="1" ht="22.5" customHeight="1">
      <c r="A519" s="1" t="str">
        <f>"张洲"</f>
        <v>张洲</v>
      </c>
      <c r="B519" s="1" t="str">
        <f>"5860406023108"</f>
        <v>5860406023108</v>
      </c>
      <c r="C519" s="1" t="str">
        <f t="shared" si="21"/>
        <v>600085</v>
      </c>
      <c r="D519" s="2">
        <v>76.67</v>
      </c>
    </row>
    <row r="520" spans="1:4" s="3" customFormat="1" ht="22.5" customHeight="1">
      <c r="A520" s="1" t="str">
        <f>"李杰"</f>
        <v>李杰</v>
      </c>
      <c r="B520" s="1" t="str">
        <f>"5860406023201"</f>
        <v>5860406023201</v>
      </c>
      <c r="C520" s="1" t="str">
        <f t="shared" si="21"/>
        <v>600085</v>
      </c>
      <c r="D520" s="2">
        <v>78.67</v>
      </c>
    </row>
    <row r="521" spans="1:4" s="3" customFormat="1" ht="22.5" customHeight="1">
      <c r="A521" s="1" t="str">
        <f>"刘姚"</f>
        <v>刘姚</v>
      </c>
      <c r="B521" s="1" t="str">
        <f>"5860406023206"</f>
        <v>5860406023206</v>
      </c>
      <c r="C521" s="1" t="str">
        <f t="shared" si="21"/>
        <v>600085</v>
      </c>
      <c r="D521" s="2">
        <v>78.33</v>
      </c>
    </row>
    <row r="522" spans="1:4" s="3" customFormat="1" ht="22.5" customHeight="1">
      <c r="A522" s="1" t="str">
        <f>"潘虹"</f>
        <v>潘虹</v>
      </c>
      <c r="B522" s="1" t="str">
        <f>"5860406023001"</f>
        <v>5860406023001</v>
      </c>
      <c r="C522" s="1" t="str">
        <f t="shared" si="21"/>
        <v>600085</v>
      </c>
      <c r="D522" s="2" t="s">
        <v>0</v>
      </c>
    </row>
    <row r="523" spans="1:4" s="3" customFormat="1" ht="22.5" customHeight="1">
      <c r="A523" s="1" t="str">
        <f>"罗茂辉"</f>
        <v>罗茂辉</v>
      </c>
      <c r="B523" s="1" t="str">
        <f>"5860406023029"</f>
        <v>5860406023029</v>
      </c>
      <c r="C523" s="1" t="str">
        <f t="shared" si="21"/>
        <v>600085</v>
      </c>
      <c r="D523" s="2">
        <v>83.67</v>
      </c>
    </row>
    <row r="524" spans="1:4" s="3" customFormat="1" ht="22.5" customHeight="1">
      <c r="A524" s="1" t="str">
        <f>"张钧"</f>
        <v>张钧</v>
      </c>
      <c r="B524" s="1" t="str">
        <f>"5860406023311"</f>
        <v>5860406023311</v>
      </c>
      <c r="C524" s="1" t="str">
        <f aca="true" t="shared" si="22" ref="C524:C551">"600086"</f>
        <v>600086</v>
      </c>
      <c r="D524" s="2">
        <v>79</v>
      </c>
    </row>
    <row r="525" spans="1:4" s="3" customFormat="1" ht="22.5" customHeight="1">
      <c r="A525" s="1" t="str">
        <f>"蹇旭平"</f>
        <v>蹇旭平</v>
      </c>
      <c r="B525" s="1" t="str">
        <f>"5860406023225"</f>
        <v>5860406023225</v>
      </c>
      <c r="C525" s="1" t="str">
        <f t="shared" si="22"/>
        <v>600086</v>
      </c>
      <c r="D525" s="2">
        <v>71.67</v>
      </c>
    </row>
    <row r="526" spans="1:4" s="3" customFormat="1" ht="22.5" customHeight="1">
      <c r="A526" s="1" t="str">
        <f>"陈奉涛"</f>
        <v>陈奉涛</v>
      </c>
      <c r="B526" s="1" t="str">
        <f>"5860406023402"</f>
        <v>5860406023402</v>
      </c>
      <c r="C526" s="1" t="str">
        <f t="shared" si="22"/>
        <v>600086</v>
      </c>
      <c r="D526" s="2">
        <v>73.67</v>
      </c>
    </row>
    <row r="527" spans="1:4" s="3" customFormat="1" ht="22.5" customHeight="1">
      <c r="A527" s="1" t="str">
        <f>"汤建琼"</f>
        <v>汤建琼</v>
      </c>
      <c r="B527" s="1" t="str">
        <f>"5860406023227"</f>
        <v>5860406023227</v>
      </c>
      <c r="C527" s="1" t="str">
        <f t="shared" si="22"/>
        <v>600086</v>
      </c>
      <c r="D527" s="2">
        <v>79.67</v>
      </c>
    </row>
    <row r="528" spans="1:4" s="3" customFormat="1" ht="22.5" customHeight="1">
      <c r="A528" s="1" t="str">
        <f>"甘亮"</f>
        <v>甘亮</v>
      </c>
      <c r="B528" s="1" t="str">
        <f>"5860406023230"</f>
        <v>5860406023230</v>
      </c>
      <c r="C528" s="1" t="str">
        <f t="shared" si="22"/>
        <v>600086</v>
      </c>
      <c r="D528" s="2">
        <v>76</v>
      </c>
    </row>
    <row r="529" spans="1:4" s="3" customFormat="1" ht="22.5" customHeight="1">
      <c r="A529" s="1" t="str">
        <f>"王星星"</f>
        <v>王星星</v>
      </c>
      <c r="B529" s="1" t="str">
        <f>"5860406023329"</f>
        <v>5860406023329</v>
      </c>
      <c r="C529" s="1" t="str">
        <f t="shared" si="22"/>
        <v>600086</v>
      </c>
      <c r="D529" s="2">
        <v>80.67</v>
      </c>
    </row>
    <row r="530" spans="1:4" s="3" customFormat="1" ht="22.5" customHeight="1">
      <c r="A530" s="1" t="str">
        <f>"庞毅"</f>
        <v>庞毅</v>
      </c>
      <c r="B530" s="1" t="str">
        <f>"5860406023323"</f>
        <v>5860406023323</v>
      </c>
      <c r="C530" s="1" t="str">
        <f t="shared" si="22"/>
        <v>600086</v>
      </c>
      <c r="D530" s="2">
        <v>76</v>
      </c>
    </row>
    <row r="531" spans="1:4" s="3" customFormat="1" ht="22.5" customHeight="1">
      <c r="A531" s="1" t="str">
        <f>"游赟"</f>
        <v>游赟</v>
      </c>
      <c r="B531" s="1" t="str">
        <f>"5860406023326"</f>
        <v>5860406023326</v>
      </c>
      <c r="C531" s="1" t="str">
        <f t="shared" si="22"/>
        <v>600086</v>
      </c>
      <c r="D531" s="2">
        <v>78</v>
      </c>
    </row>
    <row r="532" spans="1:4" s="3" customFormat="1" ht="22.5" customHeight="1">
      <c r="A532" s="1" t="str">
        <f>"杨婷"</f>
        <v>杨婷</v>
      </c>
      <c r="B532" s="1" t="str">
        <f>"5860406023307"</f>
        <v>5860406023307</v>
      </c>
      <c r="C532" s="1" t="str">
        <f t="shared" si="22"/>
        <v>600086</v>
      </c>
      <c r="D532" s="2">
        <v>75.33</v>
      </c>
    </row>
    <row r="533" spans="1:4" s="3" customFormat="1" ht="22.5" customHeight="1">
      <c r="A533" s="1" t="str">
        <f>"罗顺怀"</f>
        <v>罗顺怀</v>
      </c>
      <c r="B533" s="1" t="str">
        <f>"5860406023228"</f>
        <v>5860406023228</v>
      </c>
      <c r="C533" s="1" t="str">
        <f t="shared" si="22"/>
        <v>600086</v>
      </c>
      <c r="D533" s="2">
        <v>76.67</v>
      </c>
    </row>
    <row r="534" spans="1:4" s="3" customFormat="1" ht="22.5" customHeight="1">
      <c r="A534" s="1" t="str">
        <f>"张娅"</f>
        <v>张娅</v>
      </c>
      <c r="B534" s="1" t="str">
        <f>"5860406023324"</f>
        <v>5860406023324</v>
      </c>
      <c r="C534" s="1" t="str">
        <f t="shared" si="22"/>
        <v>600086</v>
      </c>
      <c r="D534" s="2">
        <v>79.33</v>
      </c>
    </row>
    <row r="535" spans="1:4" s="3" customFormat="1" ht="22.5" customHeight="1">
      <c r="A535" s="1" t="str">
        <f>"罗清单"</f>
        <v>罗清单</v>
      </c>
      <c r="B535" s="1" t="str">
        <f>"5860406023303"</f>
        <v>5860406023303</v>
      </c>
      <c r="C535" s="1" t="str">
        <f t="shared" si="22"/>
        <v>600086</v>
      </c>
      <c r="D535" s="2">
        <v>83.33</v>
      </c>
    </row>
    <row r="536" spans="1:4" s="3" customFormat="1" ht="22.5" customHeight="1">
      <c r="A536" s="1" t="str">
        <f>"涂洁"</f>
        <v>涂洁</v>
      </c>
      <c r="B536" s="1" t="str">
        <f>"5860406023306"</f>
        <v>5860406023306</v>
      </c>
      <c r="C536" s="1" t="str">
        <f t="shared" si="22"/>
        <v>600086</v>
      </c>
      <c r="D536" s="2">
        <v>76.67</v>
      </c>
    </row>
    <row r="537" spans="1:4" s="3" customFormat="1" ht="22.5" customHeight="1">
      <c r="A537" s="1" t="str">
        <f>"李睿"</f>
        <v>李睿</v>
      </c>
      <c r="B537" s="1" t="str">
        <f>"5860406023310"</f>
        <v>5860406023310</v>
      </c>
      <c r="C537" s="1" t="str">
        <f t="shared" si="22"/>
        <v>600086</v>
      </c>
      <c r="D537" s="2">
        <v>75.67</v>
      </c>
    </row>
    <row r="538" spans="1:4" s="3" customFormat="1" ht="22.5" customHeight="1">
      <c r="A538" s="1" t="str">
        <f>"杨仕映"</f>
        <v>杨仕映</v>
      </c>
      <c r="B538" s="1" t="str">
        <f>"5860406023312"</f>
        <v>5860406023312</v>
      </c>
      <c r="C538" s="1" t="str">
        <f t="shared" si="22"/>
        <v>600086</v>
      </c>
      <c r="D538" s="2">
        <v>80.67</v>
      </c>
    </row>
    <row r="539" spans="1:4" s="3" customFormat="1" ht="22.5" customHeight="1">
      <c r="A539" s="1" t="str">
        <f>"陈炳坐"</f>
        <v>陈炳坐</v>
      </c>
      <c r="B539" s="1" t="str">
        <f>"5860406023406"</f>
        <v>5860406023406</v>
      </c>
      <c r="C539" s="1" t="str">
        <f t="shared" si="22"/>
        <v>600086</v>
      </c>
      <c r="D539" s="2">
        <v>86.33</v>
      </c>
    </row>
    <row r="540" spans="1:4" s="3" customFormat="1" ht="22.5" customHeight="1">
      <c r="A540" s="1" t="str">
        <f>"杨金国"</f>
        <v>杨金国</v>
      </c>
      <c r="B540" s="1" t="str">
        <f>"5860406023304"</f>
        <v>5860406023304</v>
      </c>
      <c r="C540" s="1" t="str">
        <f t="shared" si="22"/>
        <v>600086</v>
      </c>
      <c r="D540" s="2">
        <v>81</v>
      </c>
    </row>
    <row r="541" spans="1:4" s="3" customFormat="1" ht="22.5" customHeight="1">
      <c r="A541" s="1" t="str">
        <f>"赵安巍"</f>
        <v>赵安巍</v>
      </c>
      <c r="B541" s="1" t="str">
        <f>"5860406023317"</f>
        <v>5860406023317</v>
      </c>
      <c r="C541" s="1" t="str">
        <f t="shared" si="22"/>
        <v>600086</v>
      </c>
      <c r="D541" s="2">
        <v>85</v>
      </c>
    </row>
    <row r="542" spans="1:4" s="3" customFormat="1" ht="22.5" customHeight="1">
      <c r="A542" s="1" t="str">
        <f>"谭莉"</f>
        <v>谭莉</v>
      </c>
      <c r="B542" s="1" t="str">
        <f>"5860406023308"</f>
        <v>5860406023308</v>
      </c>
      <c r="C542" s="1" t="str">
        <f t="shared" si="22"/>
        <v>600086</v>
      </c>
      <c r="D542" s="2">
        <v>80</v>
      </c>
    </row>
    <row r="543" spans="1:4" s="3" customFormat="1" ht="22.5" customHeight="1">
      <c r="A543" s="1" t="str">
        <f>"覃仁豪"</f>
        <v>覃仁豪</v>
      </c>
      <c r="B543" s="1" t="str">
        <f>"5860406023313"</f>
        <v>5860406023313</v>
      </c>
      <c r="C543" s="1" t="str">
        <f t="shared" si="22"/>
        <v>600086</v>
      </c>
      <c r="D543" s="2">
        <v>70.67</v>
      </c>
    </row>
    <row r="544" spans="1:4" s="3" customFormat="1" ht="22.5" customHeight="1">
      <c r="A544" s="1" t="str">
        <f>"陈俊余"</f>
        <v>陈俊余</v>
      </c>
      <c r="B544" s="1" t="str">
        <f>"5860406023328"</f>
        <v>5860406023328</v>
      </c>
      <c r="C544" s="1" t="str">
        <f t="shared" si="22"/>
        <v>600086</v>
      </c>
      <c r="D544" s="2">
        <v>72.67</v>
      </c>
    </row>
    <row r="545" spans="1:4" s="3" customFormat="1" ht="22.5" customHeight="1">
      <c r="A545" s="1" t="str">
        <f>"曾令迁"</f>
        <v>曾令迁</v>
      </c>
      <c r="B545" s="1" t="str">
        <f>"5860406023404"</f>
        <v>5860406023404</v>
      </c>
      <c r="C545" s="1" t="str">
        <f t="shared" si="22"/>
        <v>600086</v>
      </c>
      <c r="D545" s="2">
        <v>68.33</v>
      </c>
    </row>
    <row r="546" spans="1:4" s="3" customFormat="1" ht="22.5" customHeight="1">
      <c r="A546" s="1" t="str">
        <f>"任灵"</f>
        <v>任灵</v>
      </c>
      <c r="B546" s="1" t="str">
        <f>"5860406023316"</f>
        <v>5860406023316</v>
      </c>
      <c r="C546" s="1" t="str">
        <f t="shared" si="22"/>
        <v>600086</v>
      </c>
      <c r="D546" s="2">
        <v>78.33</v>
      </c>
    </row>
    <row r="547" spans="1:4" s="3" customFormat="1" ht="22.5" customHeight="1">
      <c r="A547" s="1" t="str">
        <f>"任俊松"</f>
        <v>任俊松</v>
      </c>
      <c r="B547" s="1" t="str">
        <f>"5860406023229"</f>
        <v>5860406023229</v>
      </c>
      <c r="C547" s="1" t="str">
        <f t="shared" si="22"/>
        <v>600086</v>
      </c>
      <c r="D547" s="2">
        <v>79</v>
      </c>
    </row>
    <row r="548" spans="1:4" s="3" customFormat="1" ht="22.5" customHeight="1">
      <c r="A548" s="1" t="str">
        <f>"刘健"</f>
        <v>刘健</v>
      </c>
      <c r="B548" s="1" t="str">
        <f>"5860406023325"</f>
        <v>5860406023325</v>
      </c>
      <c r="C548" s="1" t="str">
        <f t="shared" si="22"/>
        <v>600086</v>
      </c>
      <c r="D548" s="2">
        <v>61.33</v>
      </c>
    </row>
    <row r="549" spans="1:4" s="3" customFormat="1" ht="22.5" customHeight="1">
      <c r="A549" s="1" t="str">
        <f>"杨帆"</f>
        <v>杨帆</v>
      </c>
      <c r="B549" s="1" t="str">
        <f>"5860406023401"</f>
        <v>5860406023401</v>
      </c>
      <c r="C549" s="1" t="str">
        <f t="shared" si="22"/>
        <v>600086</v>
      </c>
      <c r="D549" s="2">
        <v>70.67</v>
      </c>
    </row>
    <row r="550" spans="1:4" s="3" customFormat="1" ht="22.5" customHeight="1">
      <c r="A550" s="1" t="str">
        <f>"袁聪"</f>
        <v>袁聪</v>
      </c>
      <c r="B550" s="1" t="str">
        <f>"5860406023405"</f>
        <v>5860406023405</v>
      </c>
      <c r="C550" s="1" t="str">
        <f t="shared" si="22"/>
        <v>600086</v>
      </c>
      <c r="D550" s="2">
        <v>67.67</v>
      </c>
    </row>
    <row r="551" spans="1:4" s="3" customFormat="1" ht="22.5" customHeight="1">
      <c r="A551" s="1" t="str">
        <f>"吴娜娜"</f>
        <v>吴娜娜</v>
      </c>
      <c r="B551" s="1" t="str">
        <f>"5860406023319"</f>
        <v>5860406023319</v>
      </c>
      <c r="C551" s="1" t="str">
        <f t="shared" si="22"/>
        <v>600086</v>
      </c>
      <c r="D551" s="2">
        <v>80.33</v>
      </c>
    </row>
    <row r="552" spans="1:4" s="3" customFormat="1" ht="22.5" customHeight="1">
      <c r="A552" s="1" t="str">
        <f>"刘海堂"</f>
        <v>刘海堂</v>
      </c>
      <c r="B552" s="1" t="str">
        <f>"5860406011201"</f>
        <v>5860406011201</v>
      </c>
      <c r="C552" s="1" t="str">
        <f>"600009"</f>
        <v>600009</v>
      </c>
      <c r="D552" s="2">
        <v>77.33</v>
      </c>
    </row>
    <row r="553" spans="1:4" s="3" customFormat="1" ht="22.5" customHeight="1">
      <c r="A553" s="1" t="str">
        <f>"马铭"</f>
        <v>马铭</v>
      </c>
      <c r="B553" s="1" t="str">
        <f>"5860406011130"</f>
        <v>5860406011130</v>
      </c>
      <c r="C553" s="1" t="str">
        <f>"600009"</f>
        <v>600009</v>
      </c>
      <c r="D553" s="2">
        <v>72</v>
      </c>
    </row>
    <row r="554" spans="1:4" s="3" customFormat="1" ht="22.5" customHeight="1">
      <c r="A554" s="1" t="str">
        <f>"伍从洪"</f>
        <v>伍从洪</v>
      </c>
      <c r="B554" s="1" t="str">
        <f>"5860406012811"</f>
        <v>5860406012811</v>
      </c>
      <c r="C554" s="1" t="str">
        <f aca="true" t="shared" si="23" ref="C554:C562">"600059"</f>
        <v>600059</v>
      </c>
      <c r="D554" s="2">
        <v>80</v>
      </c>
    </row>
    <row r="555" spans="1:4" s="3" customFormat="1" ht="22.5" customHeight="1">
      <c r="A555" s="1" t="str">
        <f>"沈航"</f>
        <v>沈航</v>
      </c>
      <c r="B555" s="1" t="str">
        <f>"5860406012812"</f>
        <v>5860406012812</v>
      </c>
      <c r="C555" s="1" t="str">
        <f t="shared" si="23"/>
        <v>600059</v>
      </c>
      <c r="D555" s="2">
        <v>78.67</v>
      </c>
    </row>
    <row r="556" spans="1:4" s="3" customFormat="1" ht="22.5" customHeight="1">
      <c r="A556" s="1" t="str">
        <f>"程维生"</f>
        <v>程维生</v>
      </c>
      <c r="B556" s="1" t="str">
        <f>"5860406012810"</f>
        <v>5860406012810</v>
      </c>
      <c r="C556" s="1" t="str">
        <f t="shared" si="23"/>
        <v>600059</v>
      </c>
      <c r="D556" s="2">
        <v>77</v>
      </c>
    </row>
    <row r="557" spans="1:4" s="3" customFormat="1" ht="22.5" customHeight="1">
      <c r="A557" s="1" t="str">
        <f>"朱兴玲"</f>
        <v>朱兴玲</v>
      </c>
      <c r="B557" s="1" t="str">
        <f>"5860406012801"</f>
        <v>5860406012801</v>
      </c>
      <c r="C557" s="1" t="str">
        <f t="shared" si="23"/>
        <v>600059</v>
      </c>
      <c r="D557" s="2">
        <v>75</v>
      </c>
    </row>
    <row r="558" spans="1:4" s="3" customFormat="1" ht="22.5" customHeight="1">
      <c r="A558" s="1" t="str">
        <f>"李奎祥"</f>
        <v>李奎祥</v>
      </c>
      <c r="B558" s="1" t="str">
        <f>"5860406012806"</f>
        <v>5860406012806</v>
      </c>
      <c r="C558" s="1" t="str">
        <f t="shared" si="23"/>
        <v>600059</v>
      </c>
      <c r="D558" s="2">
        <v>83</v>
      </c>
    </row>
    <row r="559" spans="1:4" s="3" customFormat="1" ht="22.5" customHeight="1">
      <c r="A559" s="1" t="str">
        <f>"苟明旭"</f>
        <v>苟明旭</v>
      </c>
      <c r="B559" s="1" t="str">
        <f>"5860406012808"</f>
        <v>5860406012808</v>
      </c>
      <c r="C559" s="1" t="str">
        <f t="shared" si="23"/>
        <v>600059</v>
      </c>
      <c r="D559" s="2">
        <v>77.67</v>
      </c>
    </row>
    <row r="560" spans="1:4" s="3" customFormat="1" ht="22.5" customHeight="1">
      <c r="A560" s="1" t="str">
        <f>"付斌"</f>
        <v>付斌</v>
      </c>
      <c r="B560" s="1" t="str">
        <f>"5860406012807"</f>
        <v>5860406012807</v>
      </c>
      <c r="C560" s="1" t="str">
        <f t="shared" si="23"/>
        <v>600059</v>
      </c>
      <c r="D560" s="2">
        <v>72.67</v>
      </c>
    </row>
    <row r="561" spans="1:4" s="3" customFormat="1" ht="22.5" customHeight="1">
      <c r="A561" s="1" t="str">
        <f>"胡敬"</f>
        <v>胡敬</v>
      </c>
      <c r="B561" s="1" t="str">
        <f>"5860406012803"</f>
        <v>5860406012803</v>
      </c>
      <c r="C561" s="1" t="str">
        <f t="shared" si="23"/>
        <v>600059</v>
      </c>
      <c r="D561" s="2">
        <v>62.67</v>
      </c>
    </row>
    <row r="562" spans="1:4" s="3" customFormat="1" ht="22.5" customHeight="1">
      <c r="A562" s="1" t="str">
        <f>"胡啟春"</f>
        <v>胡啟春</v>
      </c>
      <c r="B562" s="1" t="str">
        <f>"5860406012809"</f>
        <v>5860406012809</v>
      </c>
      <c r="C562" s="1" t="str">
        <f t="shared" si="23"/>
        <v>600059</v>
      </c>
      <c r="D562" s="2">
        <v>78</v>
      </c>
    </row>
    <row r="563" spans="1:4" s="3" customFormat="1" ht="22.5" customHeight="1">
      <c r="A563" s="1" t="str">
        <f>"陈坤阳"</f>
        <v>陈坤阳</v>
      </c>
      <c r="B563" s="1" t="str">
        <f>"5860406024022"</f>
        <v>5860406024022</v>
      </c>
      <c r="C563" s="1" t="str">
        <f aca="true" t="shared" si="24" ref="C563:C571">"600090"</f>
        <v>600090</v>
      </c>
      <c r="D563" s="2">
        <v>81</v>
      </c>
    </row>
    <row r="564" spans="1:4" s="3" customFormat="1" ht="22.5" customHeight="1">
      <c r="A564" s="1" t="str">
        <f>"蒋林江"</f>
        <v>蒋林江</v>
      </c>
      <c r="B564" s="1" t="str">
        <f>"5860406024025"</f>
        <v>5860406024025</v>
      </c>
      <c r="C564" s="1" t="str">
        <f t="shared" si="24"/>
        <v>600090</v>
      </c>
      <c r="D564" s="2">
        <v>82.33</v>
      </c>
    </row>
    <row r="565" spans="1:4" s="3" customFormat="1" ht="22.5" customHeight="1">
      <c r="A565" s="1" t="str">
        <f>"赵小冬"</f>
        <v>赵小冬</v>
      </c>
      <c r="B565" s="1" t="str">
        <f>"5860406024018"</f>
        <v>5860406024018</v>
      </c>
      <c r="C565" s="1" t="str">
        <f t="shared" si="24"/>
        <v>600090</v>
      </c>
      <c r="D565" s="2">
        <v>75.67</v>
      </c>
    </row>
    <row r="566" spans="1:4" s="3" customFormat="1" ht="22.5" customHeight="1">
      <c r="A566" s="1" t="str">
        <f>"王志"</f>
        <v>王志</v>
      </c>
      <c r="B566" s="1" t="str">
        <f>"5860406024026"</f>
        <v>5860406024026</v>
      </c>
      <c r="C566" s="1" t="str">
        <f t="shared" si="24"/>
        <v>600090</v>
      </c>
      <c r="D566" s="2">
        <v>75.67</v>
      </c>
    </row>
    <row r="567" spans="1:4" s="3" customFormat="1" ht="22.5" customHeight="1">
      <c r="A567" s="1" t="str">
        <f>"杨芝平"</f>
        <v>杨芝平</v>
      </c>
      <c r="B567" s="1" t="str">
        <f>"5860406024023"</f>
        <v>5860406024023</v>
      </c>
      <c r="C567" s="1" t="str">
        <f t="shared" si="24"/>
        <v>600090</v>
      </c>
      <c r="D567" s="2">
        <v>75.67</v>
      </c>
    </row>
    <row r="568" spans="1:4" s="3" customFormat="1" ht="22.5" customHeight="1">
      <c r="A568" s="1" t="str">
        <f>"温涛"</f>
        <v>温涛</v>
      </c>
      <c r="B568" s="1" t="str">
        <f>"5860406024019"</f>
        <v>5860406024019</v>
      </c>
      <c r="C568" s="1" t="str">
        <f t="shared" si="24"/>
        <v>600090</v>
      </c>
      <c r="D568" s="2">
        <v>76.67</v>
      </c>
    </row>
    <row r="569" spans="1:4" s="3" customFormat="1" ht="22.5" customHeight="1">
      <c r="A569" s="1" t="str">
        <f>"李浩"</f>
        <v>李浩</v>
      </c>
      <c r="B569" s="1" t="str">
        <f>"5860406024024"</f>
        <v>5860406024024</v>
      </c>
      <c r="C569" s="1" t="str">
        <f t="shared" si="24"/>
        <v>600090</v>
      </c>
      <c r="D569" s="2">
        <v>80</v>
      </c>
    </row>
    <row r="570" spans="1:4" s="3" customFormat="1" ht="22.5" customHeight="1">
      <c r="A570" s="1" t="str">
        <f>"何浩钊"</f>
        <v>何浩钊</v>
      </c>
      <c r="B570" s="1" t="str">
        <f>"5860406024016"</f>
        <v>5860406024016</v>
      </c>
      <c r="C570" s="1" t="str">
        <f t="shared" si="24"/>
        <v>600090</v>
      </c>
      <c r="D570" s="2">
        <v>72.67</v>
      </c>
    </row>
    <row r="571" spans="1:4" s="3" customFormat="1" ht="22.5" customHeight="1">
      <c r="A571" s="1" t="str">
        <f>"何莉"</f>
        <v>何莉</v>
      </c>
      <c r="B571" s="1" t="str">
        <f>"5860406024021"</f>
        <v>5860406024021</v>
      </c>
      <c r="C571" s="1" t="str">
        <f t="shared" si="24"/>
        <v>600090</v>
      </c>
      <c r="D571" s="2">
        <v>71.67</v>
      </c>
    </row>
    <row r="572" spans="1:4" s="3" customFormat="1" ht="22.5" customHeight="1">
      <c r="A572" s="1" t="str">
        <f>"周伟凤"</f>
        <v>周伟凤</v>
      </c>
      <c r="B572" s="1" t="str">
        <f>"5860406024102"</f>
        <v>5860406024102</v>
      </c>
      <c r="C572" s="1" t="str">
        <f>"600091"</f>
        <v>600091</v>
      </c>
      <c r="D572" s="2">
        <v>71.33</v>
      </c>
    </row>
    <row r="573" spans="1:4" s="3" customFormat="1" ht="22.5" customHeight="1">
      <c r="A573" s="1" t="str">
        <f>"李洪"</f>
        <v>李洪</v>
      </c>
      <c r="B573" s="1" t="str">
        <f>"5860406024030"</f>
        <v>5860406024030</v>
      </c>
      <c r="C573" s="1" t="str">
        <f>"600091"</f>
        <v>600091</v>
      </c>
      <c r="D573" s="2">
        <v>78</v>
      </c>
    </row>
    <row r="574" spans="1:4" s="3" customFormat="1" ht="22.5" customHeight="1">
      <c r="A574" s="1" t="str">
        <f>"郑勋"</f>
        <v>郑勋</v>
      </c>
      <c r="B574" s="1" t="str">
        <f>"5860406024103"</f>
        <v>5860406024103</v>
      </c>
      <c r="C574" s="1" t="str">
        <f>"600091"</f>
        <v>600091</v>
      </c>
      <c r="D574" s="2">
        <v>83.67</v>
      </c>
    </row>
    <row r="575" spans="1:4" s="3" customFormat="1" ht="22.5" customHeight="1">
      <c r="A575" s="1" t="str">
        <f>"黄昌江"</f>
        <v>黄昌江</v>
      </c>
      <c r="B575" s="1" t="str">
        <f>"5860406024028"</f>
        <v>5860406024028</v>
      </c>
      <c r="C575" s="1" t="str">
        <f>"600091"</f>
        <v>600091</v>
      </c>
      <c r="D575" s="2">
        <v>75.67</v>
      </c>
    </row>
    <row r="576" spans="1:4" s="3" customFormat="1" ht="22.5" customHeight="1">
      <c r="A576" s="1" t="str">
        <f>"文曲"</f>
        <v>文曲</v>
      </c>
      <c r="B576" s="1" t="str">
        <f>"5860406024101"</f>
        <v>5860406024101</v>
      </c>
      <c r="C576" s="1" t="str">
        <f>"600091"</f>
        <v>600091</v>
      </c>
      <c r="D576" s="2">
        <v>80</v>
      </c>
    </row>
    <row r="577" spans="1:4" s="3" customFormat="1" ht="22.5" customHeight="1">
      <c r="A577" s="1" t="str">
        <f>"李美泽"</f>
        <v>李美泽</v>
      </c>
      <c r="B577" s="1" t="str">
        <f>"5860406024106"</f>
        <v>5860406024106</v>
      </c>
      <c r="C577" s="1" t="str">
        <f>"600092"</f>
        <v>600092</v>
      </c>
      <c r="D577" s="2">
        <v>77.33</v>
      </c>
    </row>
    <row r="578" spans="1:4" s="3" customFormat="1" ht="22.5" customHeight="1">
      <c r="A578" s="1" t="str">
        <f>"任雄方"</f>
        <v>任雄方</v>
      </c>
      <c r="B578" s="1" t="str">
        <f>"5860406024105"</f>
        <v>5860406024105</v>
      </c>
      <c r="C578" s="1" t="str">
        <f>"600092"</f>
        <v>600092</v>
      </c>
      <c r="D578" s="2">
        <v>77</v>
      </c>
    </row>
    <row r="579" spans="1:4" s="3" customFormat="1" ht="22.5" customHeight="1">
      <c r="A579" s="1" t="str">
        <f>"郑文强"</f>
        <v>郑文强</v>
      </c>
      <c r="B579" s="1" t="str">
        <f>"5860406024108"</f>
        <v>5860406024108</v>
      </c>
      <c r="C579" s="1" t="str">
        <f>"600092"</f>
        <v>600092</v>
      </c>
      <c r="D579" s="2">
        <v>81</v>
      </c>
    </row>
    <row r="580" spans="1:4" s="3" customFormat="1" ht="22.5" customHeight="1">
      <c r="A580" s="1" t="s">
        <v>3</v>
      </c>
      <c r="B580" s="1"/>
      <c r="C580" s="1" t="s">
        <v>4</v>
      </c>
      <c r="D580" s="2">
        <v>75.67</v>
      </c>
    </row>
    <row r="581" spans="1:4" s="3" customFormat="1" ht="22.5" customHeight="1">
      <c r="A581" s="1" t="s">
        <v>5</v>
      </c>
      <c r="B581" s="1"/>
      <c r="C581" s="1" t="s">
        <v>4</v>
      </c>
      <c r="D581" s="2">
        <v>73.33</v>
      </c>
    </row>
    <row r="582" spans="1:4" s="3" customFormat="1" ht="22.5" customHeight="1">
      <c r="A582" s="1" t="s">
        <v>6</v>
      </c>
      <c r="B582" s="1"/>
      <c r="C582" s="1" t="s">
        <v>4</v>
      </c>
      <c r="D582" s="2">
        <v>83</v>
      </c>
    </row>
    <row r="583" spans="1:4" s="3" customFormat="1" ht="22.5" customHeight="1">
      <c r="A583" s="1" t="s">
        <v>7</v>
      </c>
      <c r="B583" s="1"/>
      <c r="C583" s="1" t="s">
        <v>4</v>
      </c>
      <c r="D583" s="2">
        <v>81</v>
      </c>
    </row>
    <row r="584" spans="1:4" s="3" customFormat="1" ht="22.5" customHeight="1">
      <c r="A584" s="1" t="s">
        <v>8</v>
      </c>
      <c r="B584" s="1"/>
      <c r="C584" s="1" t="s">
        <v>4</v>
      </c>
      <c r="D584" s="2">
        <v>66</v>
      </c>
    </row>
    <row r="585" spans="1:4" s="3" customFormat="1" ht="22.5" customHeight="1">
      <c r="A585" s="1" t="s">
        <v>9</v>
      </c>
      <c r="B585" s="1"/>
      <c r="C585" s="1" t="s">
        <v>4</v>
      </c>
      <c r="D585" s="2">
        <v>80</v>
      </c>
    </row>
    <row r="586" spans="1:4" s="3" customFormat="1" ht="22.5" customHeight="1">
      <c r="A586" s="1" t="s">
        <v>10</v>
      </c>
      <c r="B586" s="1"/>
      <c r="C586" s="1" t="s">
        <v>4</v>
      </c>
      <c r="D586" s="2">
        <v>78</v>
      </c>
    </row>
    <row r="587" spans="1:4" s="3" customFormat="1" ht="22.5" customHeight="1">
      <c r="A587" s="1" t="s">
        <v>11</v>
      </c>
      <c r="B587" s="1"/>
      <c r="C587" s="1" t="s">
        <v>4</v>
      </c>
      <c r="D587" s="2">
        <v>84.67</v>
      </c>
    </row>
    <row r="588" spans="1:4" s="3" customFormat="1" ht="22.5" customHeight="1">
      <c r="A588" s="1" t="s">
        <v>12</v>
      </c>
      <c r="B588" s="1"/>
      <c r="C588" s="1" t="s">
        <v>4</v>
      </c>
      <c r="D588" s="2">
        <v>85.33</v>
      </c>
    </row>
    <row r="589" spans="1:4" s="3" customFormat="1" ht="22.5" customHeight="1">
      <c r="A589" s="1" t="s">
        <v>13</v>
      </c>
      <c r="B589" s="1"/>
      <c r="C589" s="1" t="s">
        <v>4</v>
      </c>
      <c r="D589" s="2">
        <v>83.5</v>
      </c>
    </row>
    <row r="590" spans="1:4" s="3" customFormat="1" ht="22.5" customHeight="1">
      <c r="A590" s="1" t="s">
        <v>14</v>
      </c>
      <c r="B590" s="1"/>
      <c r="C590" s="1" t="s">
        <v>4</v>
      </c>
      <c r="D590" s="2">
        <v>79.67</v>
      </c>
    </row>
    <row r="591" spans="1:4" s="3" customFormat="1" ht="22.5" customHeight="1">
      <c r="A591" s="1" t="s">
        <v>15</v>
      </c>
      <c r="B591" s="1"/>
      <c r="C591" s="1" t="s">
        <v>4</v>
      </c>
      <c r="D591" s="2">
        <v>70</v>
      </c>
    </row>
    <row r="592" spans="1:4" s="3" customFormat="1" ht="22.5" customHeight="1">
      <c r="A592" s="1" t="s">
        <v>16</v>
      </c>
      <c r="B592" s="1"/>
      <c r="C592" s="1" t="s">
        <v>17</v>
      </c>
      <c r="D592" s="2">
        <v>74.33</v>
      </c>
    </row>
    <row r="593" spans="1:4" s="3" customFormat="1" ht="22.5" customHeight="1">
      <c r="A593" s="1" t="s">
        <v>18</v>
      </c>
      <c r="B593" s="1"/>
      <c r="C593" s="1" t="s">
        <v>17</v>
      </c>
      <c r="D593" s="2">
        <v>75.33</v>
      </c>
    </row>
    <row r="594" spans="1:4" s="3" customFormat="1" ht="22.5" customHeight="1">
      <c r="A594" s="1" t="s">
        <v>19</v>
      </c>
      <c r="B594" s="1"/>
      <c r="C594" s="1" t="s">
        <v>17</v>
      </c>
      <c r="D594" s="2">
        <v>83</v>
      </c>
    </row>
    <row r="595" spans="1:4" s="3" customFormat="1" ht="22.5" customHeight="1">
      <c r="A595" s="1" t="s">
        <v>20</v>
      </c>
      <c r="B595" s="1"/>
      <c r="C595" s="1" t="s">
        <v>17</v>
      </c>
      <c r="D595" s="2">
        <v>70.33</v>
      </c>
    </row>
    <row r="596" spans="1:4" s="3" customFormat="1" ht="22.5" customHeight="1">
      <c r="A596" s="1" t="s">
        <v>21</v>
      </c>
      <c r="B596" s="1"/>
      <c r="C596" s="1" t="s">
        <v>17</v>
      </c>
      <c r="D596" s="2">
        <v>71</v>
      </c>
    </row>
    <row r="597" spans="1:4" s="3" customFormat="1" ht="22.5" customHeight="1">
      <c r="A597" s="1" t="s">
        <v>22</v>
      </c>
      <c r="B597" s="1"/>
      <c r="C597" s="1" t="s">
        <v>17</v>
      </c>
      <c r="D597" s="2">
        <v>77</v>
      </c>
    </row>
    <row r="598" spans="1:4" s="3" customFormat="1" ht="22.5" customHeight="1">
      <c r="A598" s="1" t="s">
        <v>23</v>
      </c>
      <c r="B598" s="1"/>
      <c r="C598" s="1" t="s">
        <v>17</v>
      </c>
      <c r="D598" s="2">
        <v>71</v>
      </c>
    </row>
    <row r="599" spans="1:4" s="3" customFormat="1" ht="22.5" customHeight="1">
      <c r="A599" s="1" t="s">
        <v>24</v>
      </c>
      <c r="B599" s="1"/>
      <c r="C599" s="1" t="s">
        <v>17</v>
      </c>
      <c r="D599" s="2">
        <v>74.33</v>
      </c>
    </row>
    <row r="600" spans="1:4" s="3" customFormat="1" ht="22.5" customHeight="1">
      <c r="A600" s="1" t="s">
        <v>25</v>
      </c>
      <c r="B600" s="1"/>
      <c r="C600" s="1" t="s">
        <v>17</v>
      </c>
      <c r="D600" s="2">
        <v>78.67</v>
      </c>
    </row>
    <row r="601" spans="1:4" s="3" customFormat="1" ht="22.5" customHeight="1">
      <c r="A601" s="1" t="s">
        <v>26</v>
      </c>
      <c r="B601" s="1"/>
      <c r="C601" s="1" t="s">
        <v>17</v>
      </c>
      <c r="D601" s="2" t="s">
        <v>0</v>
      </c>
    </row>
    <row r="602" spans="1:4" s="3" customFormat="1" ht="22.5" customHeight="1">
      <c r="A602" s="1" t="s">
        <v>27</v>
      </c>
      <c r="B602" s="1"/>
      <c r="C602" s="1" t="s">
        <v>17</v>
      </c>
      <c r="D602" s="2">
        <v>85.33</v>
      </c>
    </row>
    <row r="603" spans="1:4" s="3" customFormat="1" ht="22.5" customHeight="1">
      <c r="A603" s="1" t="s">
        <v>28</v>
      </c>
      <c r="B603" s="1"/>
      <c r="C603" s="1" t="s">
        <v>17</v>
      </c>
      <c r="D603" s="2">
        <v>77.33</v>
      </c>
    </row>
    <row r="604" spans="1:4" s="3" customFormat="1" ht="22.5" customHeight="1">
      <c r="A604" s="1" t="s">
        <v>29</v>
      </c>
      <c r="B604" s="1"/>
      <c r="C604" s="1" t="s">
        <v>17</v>
      </c>
      <c r="D604" s="2" t="s">
        <v>0</v>
      </c>
    </row>
    <row r="605" spans="1:4" s="3" customFormat="1" ht="22.5" customHeight="1">
      <c r="A605" s="1" t="s">
        <v>30</v>
      </c>
      <c r="B605" s="1"/>
      <c r="C605" s="1" t="s">
        <v>17</v>
      </c>
      <c r="D605" s="2">
        <v>80.67</v>
      </c>
    </row>
    <row r="606" spans="1:4" s="3" customFormat="1" ht="22.5" customHeight="1">
      <c r="A606" s="1" t="s">
        <v>31</v>
      </c>
      <c r="B606" s="1"/>
      <c r="C606" s="1" t="s">
        <v>17</v>
      </c>
      <c r="D606" s="2">
        <v>83.67</v>
      </c>
    </row>
    <row r="607" spans="1:4" s="3" customFormat="1" ht="22.5" customHeight="1">
      <c r="A607" s="1" t="s">
        <v>32</v>
      </c>
      <c r="B607" s="1"/>
      <c r="C607" s="1" t="s">
        <v>17</v>
      </c>
      <c r="D607" s="2">
        <v>77</v>
      </c>
    </row>
    <row r="608" spans="1:4" s="3" customFormat="1" ht="22.5" customHeight="1">
      <c r="A608" s="1" t="s">
        <v>33</v>
      </c>
      <c r="B608" s="1"/>
      <c r="C608" s="1" t="s">
        <v>17</v>
      </c>
      <c r="D608" s="2" t="s">
        <v>1</v>
      </c>
    </row>
    <row r="609" spans="1:4" s="3" customFormat="1" ht="22.5" customHeight="1">
      <c r="A609" s="1" t="s">
        <v>34</v>
      </c>
      <c r="B609" s="1"/>
      <c r="C609" s="1" t="s">
        <v>17</v>
      </c>
      <c r="D609" s="2">
        <v>79</v>
      </c>
    </row>
    <row r="610" spans="1:4" s="6" customFormat="1" ht="23.25" customHeight="1">
      <c r="A610" s="4" t="str">
        <f>"郭又珲"</f>
        <v>郭又珲</v>
      </c>
      <c r="B610" s="4" t="str">
        <f>"5860406010610"</f>
        <v>5860406010610</v>
      </c>
      <c r="C610" s="4" t="str">
        <f aca="true" t="shared" si="25" ref="C610:C618">"600003"</f>
        <v>600003</v>
      </c>
      <c r="D610" s="5">
        <v>79.67</v>
      </c>
    </row>
    <row r="611" spans="1:4" s="7" customFormat="1" ht="23.25" customHeight="1">
      <c r="A611" s="4" t="str">
        <f>"刘香"</f>
        <v>刘香</v>
      </c>
      <c r="B611" s="4" t="str">
        <f>"5860406010525"</f>
        <v>5860406010525</v>
      </c>
      <c r="C611" s="4" t="str">
        <f t="shared" si="25"/>
        <v>600003</v>
      </c>
      <c r="D611" s="5">
        <v>78</v>
      </c>
    </row>
    <row r="612" spans="1:4" s="7" customFormat="1" ht="23.25" customHeight="1">
      <c r="A612" s="4" t="str">
        <f>"魏庆亮"</f>
        <v>魏庆亮</v>
      </c>
      <c r="B612" s="4" t="str">
        <f>"5860406010522"</f>
        <v>5860406010522</v>
      </c>
      <c r="C612" s="4" t="str">
        <f t="shared" si="25"/>
        <v>600003</v>
      </c>
      <c r="D612" s="5">
        <v>79.67</v>
      </c>
    </row>
    <row r="613" spans="1:4" s="7" customFormat="1" ht="23.25" customHeight="1">
      <c r="A613" s="4" t="s">
        <v>35</v>
      </c>
      <c r="B613" s="4" t="str">
        <f>"5860406010517"</f>
        <v>5860406010517</v>
      </c>
      <c r="C613" s="4" t="str">
        <f t="shared" si="25"/>
        <v>600003</v>
      </c>
      <c r="D613" s="5">
        <v>79</v>
      </c>
    </row>
    <row r="614" spans="1:4" s="7" customFormat="1" ht="23.25" customHeight="1">
      <c r="A614" s="4" t="str">
        <f>"熊君"</f>
        <v>熊君</v>
      </c>
      <c r="B614" s="4" t="str">
        <f>"5860406010523"</f>
        <v>5860406010523</v>
      </c>
      <c r="C614" s="4" t="str">
        <f t="shared" si="25"/>
        <v>600003</v>
      </c>
      <c r="D614" s="5">
        <v>77.33</v>
      </c>
    </row>
    <row r="615" spans="1:4" s="7" customFormat="1" ht="23.25" customHeight="1">
      <c r="A615" s="4" t="str">
        <f>"刘辉"</f>
        <v>刘辉</v>
      </c>
      <c r="B615" s="4" t="str">
        <f>"5860406010516"</f>
        <v>5860406010516</v>
      </c>
      <c r="C615" s="4" t="str">
        <f t="shared" si="25"/>
        <v>600003</v>
      </c>
      <c r="D615" s="5">
        <v>78</v>
      </c>
    </row>
    <row r="616" spans="1:4" s="7" customFormat="1" ht="23.25" customHeight="1">
      <c r="A616" s="4" t="str">
        <f>"董静"</f>
        <v>董静</v>
      </c>
      <c r="B616" s="4" t="str">
        <f>"5860406010527"</f>
        <v>5860406010527</v>
      </c>
      <c r="C616" s="4" t="str">
        <f t="shared" si="25"/>
        <v>600003</v>
      </c>
      <c r="D616" s="5">
        <v>78</v>
      </c>
    </row>
    <row r="617" spans="1:4" s="7" customFormat="1" ht="23.25" customHeight="1">
      <c r="A617" s="4" t="str">
        <f>"李菊"</f>
        <v>李菊</v>
      </c>
      <c r="B617" s="4" t="str">
        <f>"5860406010519"</f>
        <v>5860406010519</v>
      </c>
      <c r="C617" s="4" t="str">
        <f t="shared" si="25"/>
        <v>600003</v>
      </c>
      <c r="D617" s="5">
        <v>75.67</v>
      </c>
    </row>
    <row r="618" spans="1:4" s="7" customFormat="1" ht="23.25" customHeight="1">
      <c r="A618" s="4" t="str">
        <f>"姜小利"</f>
        <v>姜小利</v>
      </c>
      <c r="B618" s="4" t="str">
        <f>"5860406010611"</f>
        <v>5860406010611</v>
      </c>
      <c r="C618" s="4" t="str">
        <f t="shared" si="25"/>
        <v>600003</v>
      </c>
      <c r="D618" s="5">
        <v>76.67</v>
      </c>
    </row>
    <row r="619" spans="1:4" s="7" customFormat="1" ht="23.25" customHeight="1">
      <c r="A619" s="4" t="str">
        <f>"张玉萍"</f>
        <v>张玉萍</v>
      </c>
      <c r="B619" s="4" t="str">
        <f>"5860406011826"</f>
        <v>5860406011826</v>
      </c>
      <c r="C619" s="4" t="str">
        <f>"600029"</f>
        <v>600029</v>
      </c>
      <c r="D619" s="5">
        <v>73.67</v>
      </c>
    </row>
    <row r="620" spans="1:4" s="7" customFormat="1" ht="23.25" customHeight="1">
      <c r="A620" s="4" t="str">
        <f>"何柏林"</f>
        <v>何柏林</v>
      </c>
      <c r="B620" s="4" t="str">
        <f>"5860406011825"</f>
        <v>5860406011825</v>
      </c>
      <c r="C620" s="4" t="str">
        <f>"600029"</f>
        <v>600029</v>
      </c>
      <c r="D620" s="5">
        <v>77.67</v>
      </c>
    </row>
    <row r="621" spans="1:4" s="7" customFormat="1" ht="23.25" customHeight="1">
      <c r="A621" s="4" t="str">
        <f>"余龙秀"</f>
        <v>余龙秀</v>
      </c>
      <c r="B621" s="4" t="str">
        <f>"5860406011618"</f>
        <v>5860406011618</v>
      </c>
      <c r="C621" s="4" t="str">
        <f aca="true" t="shared" si="26" ref="C621:C636">"600018"</f>
        <v>600018</v>
      </c>
      <c r="D621" s="5">
        <v>79.33</v>
      </c>
    </row>
    <row r="622" spans="1:4" s="7" customFormat="1" ht="23.25" customHeight="1">
      <c r="A622" s="4" t="str">
        <f>"黄流芳"</f>
        <v>黄流芳</v>
      </c>
      <c r="B622" s="4" t="str">
        <f>"5860406011612"</f>
        <v>5860406011612</v>
      </c>
      <c r="C622" s="4" t="str">
        <f t="shared" si="26"/>
        <v>600018</v>
      </c>
      <c r="D622" s="5">
        <v>79.33</v>
      </c>
    </row>
    <row r="623" spans="1:4" s="7" customFormat="1" ht="23.25" customHeight="1">
      <c r="A623" s="4" t="str">
        <f>"邹明月"</f>
        <v>邹明月</v>
      </c>
      <c r="B623" s="4" t="str">
        <f>"5860406011528"</f>
        <v>5860406011528</v>
      </c>
      <c r="C623" s="4" t="str">
        <f t="shared" si="26"/>
        <v>600018</v>
      </c>
      <c r="D623" s="5">
        <v>74.33</v>
      </c>
    </row>
    <row r="624" spans="1:4" s="7" customFormat="1" ht="23.25" customHeight="1">
      <c r="A624" s="4" t="str">
        <f>"李静"</f>
        <v>李静</v>
      </c>
      <c r="B624" s="4" t="str">
        <f>"5860406011602"</f>
        <v>5860406011602</v>
      </c>
      <c r="C624" s="4" t="str">
        <f t="shared" si="26"/>
        <v>600018</v>
      </c>
      <c r="D624" s="5">
        <v>82.33</v>
      </c>
    </row>
    <row r="625" spans="1:4" s="7" customFormat="1" ht="23.25" customHeight="1">
      <c r="A625" s="4" t="str">
        <f>"刘雷"</f>
        <v>刘雷</v>
      </c>
      <c r="B625" s="4" t="str">
        <f>"5860406011608"</f>
        <v>5860406011608</v>
      </c>
      <c r="C625" s="4" t="str">
        <f t="shared" si="26"/>
        <v>600018</v>
      </c>
      <c r="D625" s="5">
        <v>75.67</v>
      </c>
    </row>
    <row r="626" spans="1:4" s="7" customFormat="1" ht="23.25" customHeight="1">
      <c r="A626" s="4" t="str">
        <f>"任覃红"</f>
        <v>任覃红</v>
      </c>
      <c r="B626" s="4" t="str">
        <f>"5860406011529"</f>
        <v>5860406011529</v>
      </c>
      <c r="C626" s="4" t="str">
        <f t="shared" si="26"/>
        <v>600018</v>
      </c>
      <c r="D626" s="5">
        <v>74.33</v>
      </c>
    </row>
    <row r="627" spans="1:4" s="7" customFormat="1" ht="23.25" customHeight="1">
      <c r="A627" s="4" t="str">
        <f>"谢昌浩"</f>
        <v>谢昌浩</v>
      </c>
      <c r="B627" s="4" t="str">
        <f>"5860406011601"</f>
        <v>5860406011601</v>
      </c>
      <c r="C627" s="4" t="str">
        <f t="shared" si="26"/>
        <v>600018</v>
      </c>
      <c r="D627" s="5">
        <v>76</v>
      </c>
    </row>
    <row r="628" spans="1:4" s="7" customFormat="1" ht="23.25" customHeight="1">
      <c r="A628" s="4" t="str">
        <f>"朱琴"</f>
        <v>朱琴</v>
      </c>
      <c r="B628" s="4" t="str">
        <f>"5860406011610"</f>
        <v>5860406011610</v>
      </c>
      <c r="C628" s="4" t="str">
        <f t="shared" si="26"/>
        <v>600018</v>
      </c>
      <c r="D628" s="5">
        <v>76.33</v>
      </c>
    </row>
    <row r="629" spans="1:4" s="7" customFormat="1" ht="23.25" customHeight="1">
      <c r="A629" s="4" t="str">
        <f>"任玲玲"</f>
        <v>任玲玲</v>
      </c>
      <c r="B629" s="4" t="str">
        <f>"5860406011603"</f>
        <v>5860406011603</v>
      </c>
      <c r="C629" s="4" t="str">
        <f t="shared" si="26"/>
        <v>600018</v>
      </c>
      <c r="D629" s="5">
        <v>77</v>
      </c>
    </row>
    <row r="630" spans="1:4" s="7" customFormat="1" ht="23.25" customHeight="1">
      <c r="A630" s="4" t="str">
        <f>"王雪梅"</f>
        <v>王雪梅</v>
      </c>
      <c r="B630" s="4" t="str">
        <f>"5860406011604"</f>
        <v>5860406011604</v>
      </c>
      <c r="C630" s="4" t="str">
        <f t="shared" si="26"/>
        <v>600018</v>
      </c>
      <c r="D630" s="5">
        <v>79.33</v>
      </c>
    </row>
    <row r="631" spans="1:4" s="7" customFormat="1" ht="23.25" customHeight="1">
      <c r="A631" s="4" t="str">
        <f>"凌旋"</f>
        <v>凌旋</v>
      </c>
      <c r="B631" s="4" t="str">
        <f>"5860406011609"</f>
        <v>5860406011609</v>
      </c>
      <c r="C631" s="4" t="str">
        <f t="shared" si="26"/>
        <v>600018</v>
      </c>
      <c r="D631" s="5" t="s">
        <v>36</v>
      </c>
    </row>
    <row r="632" spans="1:4" s="7" customFormat="1" ht="23.25" customHeight="1">
      <c r="A632" s="4" t="str">
        <f>"付小翠"</f>
        <v>付小翠</v>
      </c>
      <c r="B632" s="4" t="str">
        <f>"5860406011607"</f>
        <v>5860406011607</v>
      </c>
      <c r="C632" s="4" t="str">
        <f t="shared" si="26"/>
        <v>600018</v>
      </c>
      <c r="D632" s="5">
        <v>75.33</v>
      </c>
    </row>
    <row r="633" spans="1:4" s="7" customFormat="1" ht="23.25" customHeight="1">
      <c r="A633" s="4" t="str">
        <f>"陈诚"</f>
        <v>陈诚</v>
      </c>
      <c r="B633" s="4" t="str">
        <f>"5860406011611"</f>
        <v>5860406011611</v>
      </c>
      <c r="C633" s="4" t="str">
        <f t="shared" si="26"/>
        <v>600018</v>
      </c>
      <c r="D633" s="5">
        <v>73.67</v>
      </c>
    </row>
    <row r="634" spans="1:4" s="7" customFormat="1" ht="23.25" customHeight="1">
      <c r="A634" s="4" t="str">
        <f>"余祥东"</f>
        <v>余祥东</v>
      </c>
      <c r="B634" s="4" t="str">
        <f>"5860406011613"</f>
        <v>5860406011613</v>
      </c>
      <c r="C634" s="4" t="str">
        <f t="shared" si="26"/>
        <v>600018</v>
      </c>
      <c r="D634" s="5">
        <v>78.67</v>
      </c>
    </row>
    <row r="635" spans="1:4" s="7" customFormat="1" ht="23.25" customHeight="1">
      <c r="A635" s="4" t="str">
        <f>"杨涛"</f>
        <v>杨涛</v>
      </c>
      <c r="B635" s="4" t="str">
        <f>"5860406011615"</f>
        <v>5860406011615</v>
      </c>
      <c r="C635" s="4" t="str">
        <f t="shared" si="26"/>
        <v>600018</v>
      </c>
      <c r="D635" s="5">
        <v>84.33</v>
      </c>
    </row>
    <row r="636" spans="1:4" s="7" customFormat="1" ht="23.25" customHeight="1">
      <c r="A636" s="4" t="str">
        <f>"马经纬"</f>
        <v>马经纬</v>
      </c>
      <c r="B636" s="4" t="str">
        <f>"5860406011614"</f>
        <v>5860406011614</v>
      </c>
      <c r="C636" s="4" t="str">
        <f t="shared" si="26"/>
        <v>600018</v>
      </c>
      <c r="D636" s="5">
        <v>74.67</v>
      </c>
    </row>
    <row r="637" spans="1:4" s="7" customFormat="1" ht="23.25" customHeight="1">
      <c r="A637" s="4" t="str">
        <f>"王玉娇"</f>
        <v>王玉娇</v>
      </c>
      <c r="B637" s="4" t="str">
        <f>"5860406012403"</f>
        <v>5860406012403</v>
      </c>
      <c r="C637" s="4" t="str">
        <f aca="true" t="shared" si="27" ref="C637:C650">"600050"</f>
        <v>600050</v>
      </c>
      <c r="D637" s="5">
        <v>81.67</v>
      </c>
    </row>
    <row r="638" spans="1:4" s="7" customFormat="1" ht="23.25" customHeight="1">
      <c r="A638" s="4" t="str">
        <f>"谷柳"</f>
        <v>谷柳</v>
      </c>
      <c r="B638" s="4" t="str">
        <f>"5860406012315"</f>
        <v>5860406012315</v>
      </c>
      <c r="C638" s="4" t="str">
        <f t="shared" si="27"/>
        <v>600050</v>
      </c>
      <c r="D638" s="5">
        <v>76.67</v>
      </c>
    </row>
    <row r="639" spans="1:4" s="7" customFormat="1" ht="23.25" customHeight="1">
      <c r="A639" s="4" t="str">
        <f>"廖静"</f>
        <v>廖静</v>
      </c>
      <c r="B639" s="4" t="str">
        <f>"5860406012328"</f>
        <v>5860406012328</v>
      </c>
      <c r="C639" s="4" t="str">
        <f t="shared" si="27"/>
        <v>600050</v>
      </c>
      <c r="D639" s="5">
        <v>74</v>
      </c>
    </row>
    <row r="640" spans="1:4" s="7" customFormat="1" ht="23.25" customHeight="1">
      <c r="A640" s="4" t="str">
        <f>"王誉蓉"</f>
        <v>王誉蓉</v>
      </c>
      <c r="B640" s="4" t="str">
        <f>"5860406012320"</f>
        <v>5860406012320</v>
      </c>
      <c r="C640" s="4" t="str">
        <f t="shared" si="27"/>
        <v>600050</v>
      </c>
      <c r="D640" s="5">
        <v>79</v>
      </c>
    </row>
    <row r="641" spans="1:4" s="7" customFormat="1" ht="23.25" customHeight="1">
      <c r="A641" s="4" t="str">
        <f>"刘海"</f>
        <v>刘海</v>
      </c>
      <c r="B641" s="4" t="str">
        <f>"5860406012325"</f>
        <v>5860406012325</v>
      </c>
      <c r="C641" s="4" t="str">
        <f t="shared" si="27"/>
        <v>600050</v>
      </c>
      <c r="D641" s="5">
        <v>83</v>
      </c>
    </row>
    <row r="642" spans="1:4" s="7" customFormat="1" ht="23.25" customHeight="1">
      <c r="A642" s="4" t="str">
        <f>"唐德英"</f>
        <v>唐德英</v>
      </c>
      <c r="B642" s="4" t="str">
        <f>"5860406012401"</f>
        <v>5860406012401</v>
      </c>
      <c r="C642" s="4" t="str">
        <f t="shared" si="27"/>
        <v>600050</v>
      </c>
      <c r="D642" s="5">
        <v>77.33</v>
      </c>
    </row>
    <row r="643" spans="1:4" s="7" customFormat="1" ht="23.25" customHeight="1">
      <c r="A643" s="4" t="str">
        <f>"刘阳"</f>
        <v>刘阳</v>
      </c>
      <c r="B643" s="4" t="str">
        <f>"5860406012316"</f>
        <v>5860406012316</v>
      </c>
      <c r="C643" s="4" t="str">
        <f t="shared" si="27"/>
        <v>600050</v>
      </c>
      <c r="D643" s="5" t="s">
        <v>36</v>
      </c>
    </row>
    <row r="644" spans="1:4" s="7" customFormat="1" ht="23.25" customHeight="1">
      <c r="A644" s="4" t="str">
        <f>"田清"</f>
        <v>田清</v>
      </c>
      <c r="B644" s="4" t="str">
        <f>"5860406012323"</f>
        <v>5860406012323</v>
      </c>
      <c r="C644" s="4" t="str">
        <f t="shared" si="27"/>
        <v>600050</v>
      </c>
      <c r="D644" s="5">
        <v>74.67</v>
      </c>
    </row>
    <row r="645" spans="1:4" s="7" customFormat="1" ht="23.25" customHeight="1">
      <c r="A645" s="4" t="str">
        <f>"王顺贤"</f>
        <v>王顺贤</v>
      </c>
      <c r="B645" s="4" t="str">
        <f>"5860406012318"</f>
        <v>5860406012318</v>
      </c>
      <c r="C645" s="4" t="str">
        <f t="shared" si="27"/>
        <v>600050</v>
      </c>
      <c r="D645" s="5">
        <v>71.67</v>
      </c>
    </row>
    <row r="646" spans="1:4" s="7" customFormat="1" ht="23.25" customHeight="1">
      <c r="A646" s="4" t="str">
        <f>"魏红梅"</f>
        <v>魏红梅</v>
      </c>
      <c r="B646" s="4" t="str">
        <f>"5860406012321"</f>
        <v>5860406012321</v>
      </c>
      <c r="C646" s="4" t="str">
        <f t="shared" si="27"/>
        <v>600050</v>
      </c>
      <c r="D646" s="5">
        <v>78.67</v>
      </c>
    </row>
    <row r="647" spans="1:4" s="7" customFormat="1" ht="23.25" customHeight="1">
      <c r="A647" s="4" t="str">
        <f>"甘立丹"</f>
        <v>甘立丹</v>
      </c>
      <c r="B647" s="4" t="str">
        <f>"5860406012402"</f>
        <v>5860406012402</v>
      </c>
      <c r="C647" s="4" t="str">
        <f t="shared" si="27"/>
        <v>600050</v>
      </c>
      <c r="D647" s="5">
        <v>74.67</v>
      </c>
    </row>
    <row r="648" spans="1:4" s="7" customFormat="1" ht="23.25" customHeight="1">
      <c r="A648" s="4" t="str">
        <f>"王少平"</f>
        <v>王少平</v>
      </c>
      <c r="B648" s="4" t="str">
        <f>"5860406012329"</f>
        <v>5860406012329</v>
      </c>
      <c r="C648" s="4" t="str">
        <f t="shared" si="27"/>
        <v>600050</v>
      </c>
      <c r="D648" s="5">
        <v>70.67</v>
      </c>
    </row>
    <row r="649" spans="1:4" s="7" customFormat="1" ht="23.25" customHeight="1">
      <c r="A649" s="4" t="str">
        <f>"刘川维"</f>
        <v>刘川维</v>
      </c>
      <c r="B649" s="4" t="str">
        <f>"5860406012330"</f>
        <v>5860406012330</v>
      </c>
      <c r="C649" s="4" t="str">
        <f t="shared" si="27"/>
        <v>600050</v>
      </c>
      <c r="D649" s="5">
        <v>77.67</v>
      </c>
    </row>
    <row r="650" spans="1:4" s="7" customFormat="1" ht="23.25" customHeight="1">
      <c r="A650" s="4" t="str">
        <f>"李春梅"</f>
        <v>李春梅</v>
      </c>
      <c r="B650" s="4" t="str">
        <f>"5860406012322"</f>
        <v>5860406012322</v>
      </c>
      <c r="C650" s="4" t="str">
        <f t="shared" si="27"/>
        <v>600050</v>
      </c>
      <c r="D650" s="5">
        <v>78.33</v>
      </c>
    </row>
    <row r="651" spans="1:4" s="7" customFormat="1" ht="23.25" customHeight="1">
      <c r="A651" s="4" t="str">
        <f>"毛霜"</f>
        <v>毛霜</v>
      </c>
      <c r="B651" s="4" t="str">
        <f>"5860406012409"</f>
        <v>5860406012409</v>
      </c>
      <c r="C651" s="4" t="str">
        <f aca="true" t="shared" si="28" ref="C651:C659">"600051"</f>
        <v>600051</v>
      </c>
      <c r="D651" s="5">
        <v>78</v>
      </c>
    </row>
    <row r="652" spans="1:4" s="7" customFormat="1" ht="23.25" customHeight="1">
      <c r="A652" s="4" t="str">
        <f>"汤漓"</f>
        <v>汤漓</v>
      </c>
      <c r="B652" s="4" t="str">
        <f>"5860406012408"</f>
        <v>5860406012408</v>
      </c>
      <c r="C652" s="4" t="str">
        <f t="shared" si="28"/>
        <v>600051</v>
      </c>
      <c r="D652" s="5">
        <v>73.67</v>
      </c>
    </row>
    <row r="653" spans="1:4" s="7" customFormat="1" ht="23.25" customHeight="1">
      <c r="A653" s="4" t="str">
        <f>"李燕"</f>
        <v>李燕</v>
      </c>
      <c r="B653" s="4" t="str">
        <f>"5860406012406"</f>
        <v>5860406012406</v>
      </c>
      <c r="C653" s="4" t="str">
        <f t="shared" si="28"/>
        <v>600051</v>
      </c>
      <c r="D653" s="5">
        <v>76.33</v>
      </c>
    </row>
    <row r="654" spans="1:4" s="7" customFormat="1" ht="23.25" customHeight="1">
      <c r="A654" s="4" t="str">
        <f>"唐小琪"</f>
        <v>唐小琪</v>
      </c>
      <c r="B654" s="4" t="str">
        <f>"5860406012410"</f>
        <v>5860406012410</v>
      </c>
      <c r="C654" s="4" t="str">
        <f t="shared" si="28"/>
        <v>600051</v>
      </c>
      <c r="D654" s="5">
        <v>80</v>
      </c>
    </row>
    <row r="655" spans="1:4" s="7" customFormat="1" ht="23.25" customHeight="1">
      <c r="A655" s="4" t="str">
        <f>"张孝龙"</f>
        <v>张孝龙</v>
      </c>
      <c r="B655" s="4" t="str">
        <f>"5860406012411"</f>
        <v>5860406012411</v>
      </c>
      <c r="C655" s="4" t="str">
        <f t="shared" si="28"/>
        <v>600051</v>
      </c>
      <c r="D655" s="5">
        <v>75.67</v>
      </c>
    </row>
    <row r="656" spans="1:4" s="7" customFormat="1" ht="23.25" customHeight="1">
      <c r="A656" s="4" t="str">
        <f>"伍海"</f>
        <v>伍海</v>
      </c>
      <c r="B656" s="4" t="str">
        <f>"5860406012415"</f>
        <v>5860406012415</v>
      </c>
      <c r="C656" s="4" t="str">
        <f t="shared" si="28"/>
        <v>600051</v>
      </c>
      <c r="D656" s="5">
        <v>77</v>
      </c>
    </row>
    <row r="657" spans="1:4" s="7" customFormat="1" ht="23.25" customHeight="1">
      <c r="A657" s="4" t="str">
        <f>"程莉"</f>
        <v>程莉</v>
      </c>
      <c r="B657" s="4" t="str">
        <f>"5860406012407"</f>
        <v>5860406012407</v>
      </c>
      <c r="C657" s="4" t="str">
        <f t="shared" si="28"/>
        <v>600051</v>
      </c>
      <c r="D657" s="5">
        <v>78.67</v>
      </c>
    </row>
    <row r="658" spans="1:4" s="7" customFormat="1" ht="23.25" customHeight="1">
      <c r="A658" s="4" t="str">
        <f>"熊孝秀"</f>
        <v>熊孝秀</v>
      </c>
      <c r="B658" s="4" t="str">
        <f>"5860406012414"</f>
        <v>5860406012414</v>
      </c>
      <c r="C658" s="4" t="str">
        <f t="shared" si="28"/>
        <v>600051</v>
      </c>
      <c r="D658" s="5">
        <v>85.67</v>
      </c>
    </row>
    <row r="659" spans="1:4" s="7" customFormat="1" ht="23.25" customHeight="1">
      <c r="A659" s="4" t="str">
        <f>"冯昀"</f>
        <v>冯昀</v>
      </c>
      <c r="B659" s="4" t="str">
        <f>"5860406012416"</f>
        <v>5860406012416</v>
      </c>
      <c r="C659" s="4" t="str">
        <f t="shared" si="28"/>
        <v>600051</v>
      </c>
      <c r="D659" s="5">
        <v>81.33</v>
      </c>
    </row>
    <row r="660" spans="1:4" s="7" customFormat="1" ht="23.25" customHeight="1">
      <c r="A660" s="4" t="str">
        <f>"邓迎"</f>
        <v>邓迎</v>
      </c>
      <c r="B660" s="4" t="str">
        <f>"5860406011011"</f>
        <v>5860406011011</v>
      </c>
      <c r="C660" s="4" t="str">
        <f>"600005"</f>
        <v>600005</v>
      </c>
      <c r="D660" s="5">
        <v>79</v>
      </c>
    </row>
    <row r="661" spans="1:4" s="7" customFormat="1" ht="23.25" customHeight="1">
      <c r="A661" s="4" t="str">
        <f>"刘小名"</f>
        <v>刘小名</v>
      </c>
      <c r="B661" s="4" t="str">
        <f>"5860406011012"</f>
        <v>5860406011012</v>
      </c>
      <c r="C661" s="4" t="str">
        <f>"600005"</f>
        <v>600005</v>
      </c>
      <c r="D661" s="5">
        <v>79.67</v>
      </c>
    </row>
    <row r="662" spans="1:4" s="7" customFormat="1" ht="23.25" customHeight="1">
      <c r="A662" s="4" t="str">
        <f>"陈鹏"</f>
        <v>陈鹏</v>
      </c>
      <c r="B662" s="4" t="str">
        <f>"5860406011010"</f>
        <v>5860406011010</v>
      </c>
      <c r="C662" s="4" t="str">
        <f>"600005"</f>
        <v>600005</v>
      </c>
      <c r="D662" s="5">
        <v>84.67</v>
      </c>
    </row>
    <row r="663" spans="1:4" s="7" customFormat="1" ht="23.25" customHeight="1">
      <c r="A663" s="4" t="str">
        <f>"窦建华"</f>
        <v>窦建华</v>
      </c>
      <c r="B663" s="4" t="str">
        <f>"5860406012501"</f>
        <v>5860406012501</v>
      </c>
      <c r="C663" s="4" t="str">
        <f aca="true" t="shared" si="29" ref="C663:C668">"600053"</f>
        <v>600053</v>
      </c>
      <c r="D663" s="5">
        <v>84.67</v>
      </c>
    </row>
    <row r="664" spans="1:4" s="7" customFormat="1" ht="23.25" customHeight="1">
      <c r="A664" s="4" t="str">
        <f>"张纯博"</f>
        <v>张纯博</v>
      </c>
      <c r="B664" s="4" t="str">
        <f>"5860406012421"</f>
        <v>5860406012421</v>
      </c>
      <c r="C664" s="4" t="str">
        <f t="shared" si="29"/>
        <v>600053</v>
      </c>
      <c r="D664" s="5">
        <v>78.67</v>
      </c>
    </row>
    <row r="665" spans="1:4" s="7" customFormat="1" ht="23.25" customHeight="1">
      <c r="A665" s="4" t="str">
        <f>"黄治钧"</f>
        <v>黄治钧</v>
      </c>
      <c r="B665" s="4" t="str">
        <f>"5860406012424"</f>
        <v>5860406012424</v>
      </c>
      <c r="C665" s="4" t="str">
        <f t="shared" si="29"/>
        <v>600053</v>
      </c>
      <c r="D665" s="5">
        <v>74</v>
      </c>
    </row>
    <row r="666" spans="1:4" s="7" customFormat="1" ht="23.25" customHeight="1">
      <c r="A666" s="4" t="str">
        <f>"王学航"</f>
        <v>王学航</v>
      </c>
      <c r="B666" s="4" t="str">
        <f>"5860406012425"</f>
        <v>5860406012425</v>
      </c>
      <c r="C666" s="4" t="str">
        <f t="shared" si="29"/>
        <v>600053</v>
      </c>
      <c r="D666" s="5">
        <v>80</v>
      </c>
    </row>
    <row r="667" spans="1:4" s="7" customFormat="1" ht="23.25" customHeight="1">
      <c r="A667" s="4" t="str">
        <f>"胡祥文"</f>
        <v>胡祥文</v>
      </c>
      <c r="B667" s="4" t="str">
        <f>"5860406012423"</f>
        <v>5860406012423</v>
      </c>
      <c r="C667" s="4" t="str">
        <f t="shared" si="29"/>
        <v>600053</v>
      </c>
      <c r="D667" s="5">
        <v>80</v>
      </c>
    </row>
    <row r="668" spans="1:4" s="7" customFormat="1" ht="23.25" customHeight="1">
      <c r="A668" s="4" t="str">
        <f>"符雁溪"</f>
        <v>符雁溪</v>
      </c>
      <c r="B668" s="4" t="str">
        <f>"5860406012428"</f>
        <v>5860406012428</v>
      </c>
      <c r="C668" s="4" t="str">
        <f t="shared" si="29"/>
        <v>600053</v>
      </c>
      <c r="D668" s="5">
        <v>66</v>
      </c>
    </row>
    <row r="669" spans="1:4" s="7" customFormat="1" ht="23.25" customHeight="1">
      <c r="A669" s="4" t="str">
        <f>"叶大星"</f>
        <v>叶大星</v>
      </c>
      <c r="B669" s="4" t="str">
        <f>"5860406012001"</f>
        <v>5860406012001</v>
      </c>
      <c r="C669" s="4" t="str">
        <f>"600040"</f>
        <v>600040</v>
      </c>
      <c r="D669" s="5">
        <v>80.34</v>
      </c>
    </row>
    <row r="670" spans="1:4" s="7" customFormat="1" ht="23.25" customHeight="1">
      <c r="A670" s="4" t="str">
        <f>"杨多娟"</f>
        <v>杨多娟</v>
      </c>
      <c r="B670" s="4" t="str">
        <f>"5860406011930"</f>
        <v>5860406011930</v>
      </c>
      <c r="C670" s="4" t="str">
        <f>"600040"</f>
        <v>600040</v>
      </c>
      <c r="D670" s="5">
        <v>73</v>
      </c>
    </row>
    <row r="671" spans="1:4" s="7" customFormat="1" ht="23.25" customHeight="1">
      <c r="A671" s="4" t="str">
        <f>"谭美玲"</f>
        <v>谭美玲</v>
      </c>
      <c r="B671" s="4" t="s">
        <v>37</v>
      </c>
      <c r="C671" s="4" t="str">
        <f>"600040"</f>
        <v>600040</v>
      </c>
      <c r="D671" s="5">
        <v>76.67</v>
      </c>
    </row>
    <row r="672" spans="1:4" s="7" customFormat="1" ht="23.25" customHeight="1">
      <c r="A672" s="4" t="str">
        <f>"申启"</f>
        <v>申启</v>
      </c>
      <c r="B672" s="4" t="str">
        <f>"5860406012516"</f>
        <v>5860406012516</v>
      </c>
      <c r="C672" s="4" t="str">
        <f aca="true" t="shared" si="30" ref="C672:C686">"600054"</f>
        <v>600054</v>
      </c>
      <c r="D672" s="5">
        <v>82.33</v>
      </c>
    </row>
    <row r="673" spans="1:4" s="7" customFormat="1" ht="23.25" customHeight="1">
      <c r="A673" s="4" t="str">
        <f>"刘婷"</f>
        <v>刘婷</v>
      </c>
      <c r="B673" s="4" t="str">
        <f>"5860406012511"</f>
        <v>5860406012511</v>
      </c>
      <c r="C673" s="4" t="str">
        <f t="shared" si="30"/>
        <v>600054</v>
      </c>
      <c r="D673" s="5">
        <v>80.33</v>
      </c>
    </row>
    <row r="674" spans="1:4" s="7" customFormat="1" ht="23.25" customHeight="1">
      <c r="A674" s="4" t="str">
        <f>"王先娥"</f>
        <v>王先娥</v>
      </c>
      <c r="B674" s="4" t="str">
        <f>"5860406012522"</f>
        <v>5860406012522</v>
      </c>
      <c r="C674" s="4" t="str">
        <f t="shared" si="30"/>
        <v>600054</v>
      </c>
      <c r="D674" s="5" t="s">
        <v>36</v>
      </c>
    </row>
    <row r="675" spans="1:4" s="7" customFormat="1" ht="23.25" customHeight="1">
      <c r="A675" s="4" t="str">
        <f>"崔文化"</f>
        <v>崔文化</v>
      </c>
      <c r="B675" s="4" t="str">
        <f>"5860406012504"</f>
        <v>5860406012504</v>
      </c>
      <c r="C675" s="4" t="str">
        <f t="shared" si="30"/>
        <v>600054</v>
      </c>
      <c r="D675" s="5">
        <v>84</v>
      </c>
    </row>
    <row r="676" spans="1:4" s="7" customFormat="1" ht="23.25" customHeight="1">
      <c r="A676" s="4" t="str">
        <f>"杨开琴"</f>
        <v>杨开琴</v>
      </c>
      <c r="B676" s="4" t="str">
        <f>"5860406012521"</f>
        <v>5860406012521</v>
      </c>
      <c r="C676" s="4" t="str">
        <f t="shared" si="30"/>
        <v>600054</v>
      </c>
      <c r="D676" s="5">
        <v>78</v>
      </c>
    </row>
    <row r="677" spans="1:4" s="7" customFormat="1" ht="23.25" customHeight="1">
      <c r="A677" s="4" t="str">
        <f>"李杨川"</f>
        <v>李杨川</v>
      </c>
      <c r="B677" s="4" t="str">
        <f>"5860406012529"</f>
        <v>5860406012529</v>
      </c>
      <c r="C677" s="4" t="str">
        <f t="shared" si="30"/>
        <v>600054</v>
      </c>
      <c r="D677" s="5">
        <v>76</v>
      </c>
    </row>
    <row r="678" spans="1:4" s="7" customFormat="1" ht="23.25" customHeight="1">
      <c r="A678" s="4" t="str">
        <f>"李宇"</f>
        <v>李宇</v>
      </c>
      <c r="B678" s="4" t="str">
        <f>"5860406012526"</f>
        <v>5860406012526</v>
      </c>
      <c r="C678" s="4" t="str">
        <f t="shared" si="30"/>
        <v>600054</v>
      </c>
      <c r="D678" s="5">
        <v>75</v>
      </c>
    </row>
    <row r="679" spans="1:4" s="7" customFormat="1" ht="23.25" customHeight="1">
      <c r="A679" s="4" t="str">
        <f>"敬晓"</f>
        <v>敬晓</v>
      </c>
      <c r="B679" s="4" t="str">
        <f>"5860406012519"</f>
        <v>5860406012519</v>
      </c>
      <c r="C679" s="4" t="str">
        <f t="shared" si="30"/>
        <v>600054</v>
      </c>
      <c r="D679" s="5">
        <v>79.33</v>
      </c>
    </row>
    <row r="680" spans="1:4" s="7" customFormat="1" ht="23.25" customHeight="1">
      <c r="A680" s="4" t="str">
        <f>"郭秀英"</f>
        <v>郭秀英</v>
      </c>
      <c r="B680" s="4" t="str">
        <f>"5860406012528"</f>
        <v>5860406012528</v>
      </c>
      <c r="C680" s="4" t="str">
        <f t="shared" si="30"/>
        <v>600054</v>
      </c>
      <c r="D680" s="5">
        <v>77.33</v>
      </c>
    </row>
    <row r="681" spans="1:4" s="7" customFormat="1" ht="23.25" customHeight="1">
      <c r="A681" s="4" t="str">
        <f>"王翠"</f>
        <v>王翠</v>
      </c>
      <c r="B681" s="4" t="str">
        <f>"5860406012515"</f>
        <v>5860406012515</v>
      </c>
      <c r="C681" s="4" t="str">
        <f t="shared" si="30"/>
        <v>600054</v>
      </c>
      <c r="D681" s="5" t="s">
        <v>36</v>
      </c>
    </row>
    <row r="682" spans="1:4" s="7" customFormat="1" ht="23.25" customHeight="1">
      <c r="A682" s="4" t="str">
        <f>"廖丽"</f>
        <v>廖丽</v>
      </c>
      <c r="B682" s="4" t="str">
        <f>"5860406012514"</f>
        <v>5860406012514</v>
      </c>
      <c r="C682" s="4" t="str">
        <f t="shared" si="30"/>
        <v>600054</v>
      </c>
      <c r="D682" s="5">
        <v>84</v>
      </c>
    </row>
    <row r="683" spans="1:4" s="7" customFormat="1" ht="23.25" customHeight="1">
      <c r="A683" s="4" t="str">
        <f>"李月华"</f>
        <v>李月华</v>
      </c>
      <c r="B683" s="4" t="str">
        <f>"5860406012530"</f>
        <v>5860406012530</v>
      </c>
      <c r="C683" s="4" t="str">
        <f t="shared" si="30"/>
        <v>600054</v>
      </c>
      <c r="D683" s="5">
        <v>78.33</v>
      </c>
    </row>
    <row r="684" spans="1:4" s="7" customFormat="1" ht="23.25" customHeight="1">
      <c r="A684" s="4" t="str">
        <f>"沈春梅"</f>
        <v>沈春梅</v>
      </c>
      <c r="B684" s="4" t="str">
        <f>"5860406012505"</f>
        <v>5860406012505</v>
      </c>
      <c r="C684" s="4" t="str">
        <f t="shared" si="30"/>
        <v>600054</v>
      </c>
      <c r="D684" s="5">
        <v>74.33</v>
      </c>
    </row>
    <row r="685" spans="1:4" s="7" customFormat="1" ht="23.25" customHeight="1">
      <c r="A685" s="4" t="str">
        <f>"雷冬"</f>
        <v>雷冬</v>
      </c>
      <c r="B685" s="4" t="str">
        <f>"5860406012508"</f>
        <v>5860406012508</v>
      </c>
      <c r="C685" s="4" t="str">
        <f t="shared" si="30"/>
        <v>600054</v>
      </c>
      <c r="D685" s="5">
        <v>72</v>
      </c>
    </row>
    <row r="686" spans="1:4" s="7" customFormat="1" ht="23.25" customHeight="1">
      <c r="A686" s="4" t="str">
        <f>"林贵志"</f>
        <v>林贵志</v>
      </c>
      <c r="B686" s="4" t="str">
        <f>"5860406012513"</f>
        <v>5860406012513</v>
      </c>
      <c r="C686" s="4" t="str">
        <f t="shared" si="30"/>
        <v>600054</v>
      </c>
      <c r="D686" s="5">
        <v>72</v>
      </c>
    </row>
    <row r="687" spans="1:4" s="7" customFormat="1" ht="23.25" customHeight="1">
      <c r="A687" s="4" t="str">
        <f>"谢欢欢"</f>
        <v>谢欢欢</v>
      </c>
      <c r="B687" s="4" t="str">
        <f>"5860406011027"</f>
        <v>5860406011027</v>
      </c>
      <c r="C687" s="4" t="str">
        <f aca="true" t="shared" si="31" ref="C687:C692">"600006"</f>
        <v>600006</v>
      </c>
      <c r="D687" s="5">
        <v>85.33</v>
      </c>
    </row>
    <row r="688" spans="1:4" s="7" customFormat="1" ht="23.25" customHeight="1">
      <c r="A688" s="4" t="str">
        <f>"薛景军"</f>
        <v>薛景军</v>
      </c>
      <c r="B688" s="4" t="str">
        <f>"5860406011022"</f>
        <v>5860406011022</v>
      </c>
      <c r="C688" s="4" t="str">
        <f t="shared" si="31"/>
        <v>600006</v>
      </c>
      <c r="D688" s="5">
        <v>82.33</v>
      </c>
    </row>
    <row r="689" spans="1:4" s="7" customFormat="1" ht="23.25" customHeight="1">
      <c r="A689" s="4" t="str">
        <f>"陈明柳"</f>
        <v>陈明柳</v>
      </c>
      <c r="B689" s="4" t="str">
        <f>"5860406011020"</f>
        <v>5860406011020</v>
      </c>
      <c r="C689" s="4" t="str">
        <f t="shared" si="31"/>
        <v>600006</v>
      </c>
      <c r="D689" s="5">
        <v>83.67</v>
      </c>
    </row>
    <row r="690" spans="1:4" s="7" customFormat="1" ht="23.25" customHeight="1">
      <c r="A690" s="4" t="str">
        <f>"伍春游"</f>
        <v>伍春游</v>
      </c>
      <c r="B690" s="4" t="str">
        <f>"5860406011028"</f>
        <v>5860406011028</v>
      </c>
      <c r="C690" s="4" t="str">
        <f t="shared" si="31"/>
        <v>600006</v>
      </c>
      <c r="D690" s="5">
        <v>82.67</v>
      </c>
    </row>
    <row r="691" spans="1:4" s="7" customFormat="1" ht="23.25" customHeight="1">
      <c r="A691" s="4" t="str">
        <f>"廖婷婷"</f>
        <v>廖婷婷</v>
      </c>
      <c r="B691" s="4" t="str">
        <f>"5860406011025"</f>
        <v>5860406011025</v>
      </c>
      <c r="C691" s="4" t="str">
        <f t="shared" si="31"/>
        <v>600006</v>
      </c>
      <c r="D691" s="5">
        <v>81.67</v>
      </c>
    </row>
    <row r="692" spans="1:4" s="7" customFormat="1" ht="23.25" customHeight="1">
      <c r="A692" s="4" t="str">
        <f>"廖位莉"</f>
        <v>廖位莉</v>
      </c>
      <c r="B692" s="4" t="str">
        <f>"5860406011023"</f>
        <v>5860406011023</v>
      </c>
      <c r="C692" s="4" t="str">
        <f t="shared" si="31"/>
        <v>600006</v>
      </c>
      <c r="D692" s="5">
        <v>85.67</v>
      </c>
    </row>
    <row r="693" spans="1:4" s="7" customFormat="1" ht="23.25" customHeight="1">
      <c r="A693" s="4" t="str">
        <f>"吴小罗"</f>
        <v>吴小罗</v>
      </c>
      <c r="B693" s="4" t="str">
        <f>"5860406011621"</f>
        <v>5860406011621</v>
      </c>
      <c r="C693" s="4" t="str">
        <f>"600020"</f>
        <v>600020</v>
      </c>
      <c r="D693" s="5">
        <v>84</v>
      </c>
    </row>
    <row r="694" spans="1:4" s="7" customFormat="1" ht="23.25" customHeight="1">
      <c r="A694" s="4" t="str">
        <f>"岑明娟"</f>
        <v>岑明娟</v>
      </c>
      <c r="B694" s="4" t="str">
        <f>"5860406011629"</f>
        <v>5860406011629</v>
      </c>
      <c r="C694" s="4" t="str">
        <f>"600020"</f>
        <v>600020</v>
      </c>
      <c r="D694" s="5">
        <v>82</v>
      </c>
    </row>
    <row r="695" spans="1:4" s="7" customFormat="1" ht="23.25" customHeight="1">
      <c r="A695" s="4" t="str">
        <f>"张华巧"</f>
        <v>张华巧</v>
      </c>
      <c r="B695" s="4" t="str">
        <f>"5860406011624"</f>
        <v>5860406011624</v>
      </c>
      <c r="C695" s="4" t="str">
        <f>"600020"</f>
        <v>600020</v>
      </c>
      <c r="D695" s="5">
        <v>78</v>
      </c>
    </row>
    <row r="696" spans="1:4" s="7" customFormat="1" ht="23.25" customHeight="1">
      <c r="A696" s="4" t="str">
        <f>"樊成丽"</f>
        <v>樊成丽</v>
      </c>
      <c r="B696" s="4" t="str">
        <f>"5860406011623"</f>
        <v>5860406011623</v>
      </c>
      <c r="C696" s="4" t="str">
        <f>"600020"</f>
        <v>600020</v>
      </c>
      <c r="D696" s="5">
        <v>78.67</v>
      </c>
    </row>
    <row r="697" spans="1:4" s="7" customFormat="1" ht="23.25" customHeight="1">
      <c r="A697" s="4" t="str">
        <f>"王小亮"</f>
        <v>王小亮</v>
      </c>
      <c r="B697" s="4" t="str">
        <f>"5860406011906"</f>
        <v>5860406011906</v>
      </c>
      <c r="C697" s="4" t="str">
        <f>"600034"</f>
        <v>600034</v>
      </c>
      <c r="D697" s="5">
        <v>83.67</v>
      </c>
    </row>
    <row r="698" spans="1:4" s="7" customFormat="1" ht="23.25" customHeight="1">
      <c r="A698" s="4" t="str">
        <f>"颜政委"</f>
        <v>颜政委</v>
      </c>
      <c r="B698" s="4" t="str">
        <f>"5860406011904"</f>
        <v>5860406011904</v>
      </c>
      <c r="C698" s="4" t="str">
        <f>"600034"</f>
        <v>600034</v>
      </c>
      <c r="D698" s="5">
        <v>80.67</v>
      </c>
    </row>
    <row r="699" spans="1:4" s="7" customFormat="1" ht="23.25" customHeight="1">
      <c r="A699" s="4" t="str">
        <f>"廖维"</f>
        <v>廖维</v>
      </c>
      <c r="B699" s="4" t="str">
        <f>"5860406011905"</f>
        <v>5860406011905</v>
      </c>
      <c r="C699" s="4" t="str">
        <f>"600034"</f>
        <v>600034</v>
      </c>
      <c r="D699" s="5">
        <v>83.67</v>
      </c>
    </row>
    <row r="700" spans="1:4" s="7" customFormat="1" ht="23.25" customHeight="1">
      <c r="A700" s="4" t="str">
        <f>"杨宇霆"</f>
        <v>杨宇霆</v>
      </c>
      <c r="B700" s="4" t="str">
        <f>"5860406011903"</f>
        <v>5860406011903</v>
      </c>
      <c r="C700" s="4" t="str">
        <f>"600034"</f>
        <v>600034</v>
      </c>
      <c r="D700" s="5">
        <v>80.67</v>
      </c>
    </row>
    <row r="701" spans="1:4" s="7" customFormat="1" ht="23.25" customHeight="1">
      <c r="A701" s="4" t="str">
        <f>"胡发兰"</f>
        <v>胡发兰</v>
      </c>
      <c r="B701" s="4" t="str">
        <f>"5860406012005"</f>
        <v>5860406012005</v>
      </c>
      <c r="C701" s="4" t="str">
        <f>"600041"</f>
        <v>600041</v>
      </c>
      <c r="D701" s="5">
        <v>81.67</v>
      </c>
    </row>
    <row r="702" spans="1:4" s="7" customFormat="1" ht="23.25" customHeight="1">
      <c r="A702" s="4" t="str">
        <f>"彭红"</f>
        <v>彭红</v>
      </c>
      <c r="B702" s="4" t="str">
        <f>"5860406012006"</f>
        <v>5860406012006</v>
      </c>
      <c r="C702" s="4" t="str">
        <f>"600041"</f>
        <v>600041</v>
      </c>
      <c r="D702" s="5">
        <v>82.67</v>
      </c>
    </row>
    <row r="703" spans="1:4" s="7" customFormat="1" ht="23.25" customHeight="1">
      <c r="A703" s="4" t="str">
        <f>"邓松"</f>
        <v>邓松</v>
      </c>
      <c r="B703" s="4" t="str">
        <f>"5860406012608"</f>
        <v>5860406012608</v>
      </c>
      <c r="C703" s="4" t="str">
        <f aca="true" t="shared" si="32" ref="C703:C710">"600055"</f>
        <v>600055</v>
      </c>
      <c r="D703" s="5">
        <v>78.33</v>
      </c>
    </row>
    <row r="704" spans="1:4" s="7" customFormat="1" ht="23.25" customHeight="1">
      <c r="A704" s="4" t="str">
        <f>"唐敏"</f>
        <v>唐敏</v>
      </c>
      <c r="B704" s="4" t="str">
        <f>"5860406012609"</f>
        <v>5860406012609</v>
      </c>
      <c r="C704" s="4" t="str">
        <f t="shared" si="32"/>
        <v>600055</v>
      </c>
      <c r="D704" s="5">
        <v>80.33</v>
      </c>
    </row>
    <row r="705" spans="1:4" s="7" customFormat="1" ht="23.25" customHeight="1">
      <c r="A705" s="4" t="str">
        <f>"梁源"</f>
        <v>梁源</v>
      </c>
      <c r="B705" s="4" t="str">
        <f>"5860406012616"</f>
        <v>5860406012616</v>
      </c>
      <c r="C705" s="4" t="str">
        <f t="shared" si="32"/>
        <v>600055</v>
      </c>
      <c r="D705" s="5">
        <v>71</v>
      </c>
    </row>
    <row r="706" spans="1:4" s="7" customFormat="1" ht="23.25" customHeight="1">
      <c r="A706" s="4" t="str">
        <f>"孔莉娟"</f>
        <v>孔莉娟</v>
      </c>
      <c r="B706" s="4" t="str">
        <f>"5860406012614"</f>
        <v>5860406012614</v>
      </c>
      <c r="C706" s="4" t="str">
        <f t="shared" si="32"/>
        <v>600055</v>
      </c>
      <c r="D706" s="5">
        <v>76.67</v>
      </c>
    </row>
    <row r="707" spans="1:4" s="7" customFormat="1" ht="23.25" customHeight="1">
      <c r="A707" s="4" t="str">
        <f>"苏俊丹"</f>
        <v>苏俊丹</v>
      </c>
      <c r="B707" s="4" t="str">
        <f>"5860406012615"</f>
        <v>5860406012615</v>
      </c>
      <c r="C707" s="4" t="str">
        <f t="shared" si="32"/>
        <v>600055</v>
      </c>
      <c r="D707" s="5">
        <v>80.33</v>
      </c>
    </row>
    <row r="708" spans="1:4" s="7" customFormat="1" ht="23.25" customHeight="1">
      <c r="A708" s="4" t="str">
        <f>"吴万芬"</f>
        <v>吴万芬</v>
      </c>
      <c r="B708" s="4" t="str">
        <f>"5860406012612"</f>
        <v>5860406012612</v>
      </c>
      <c r="C708" s="4" t="str">
        <f t="shared" si="32"/>
        <v>600055</v>
      </c>
      <c r="D708" s="5">
        <v>82</v>
      </c>
    </row>
    <row r="709" spans="1:4" s="7" customFormat="1" ht="23.25" customHeight="1">
      <c r="A709" s="4" t="str">
        <f>"刘林军"</f>
        <v>刘林军</v>
      </c>
      <c r="B709" s="4" t="str">
        <f>"5860406012611"</f>
        <v>5860406012611</v>
      </c>
      <c r="C709" s="4" t="str">
        <f t="shared" si="32"/>
        <v>600055</v>
      </c>
      <c r="D709" s="5">
        <v>71</v>
      </c>
    </row>
    <row r="710" spans="1:4" s="7" customFormat="1" ht="23.25" customHeight="1">
      <c r="A710" s="4" t="str">
        <f>"黄周花"</f>
        <v>黄周花</v>
      </c>
      <c r="B710" s="4" t="str">
        <f>"5860406012617"</f>
        <v>5860406012617</v>
      </c>
      <c r="C710" s="4" t="str">
        <f t="shared" si="32"/>
        <v>600055</v>
      </c>
      <c r="D710" s="5">
        <v>77</v>
      </c>
    </row>
    <row r="711" spans="1:4" s="7" customFormat="1" ht="23.25" customHeight="1">
      <c r="A711" s="4" t="str">
        <f>"贾迪"</f>
        <v>贾迪</v>
      </c>
      <c r="B711" s="4" t="str">
        <f>"5860406011822"</f>
        <v>5860406011822</v>
      </c>
      <c r="C711" s="4" t="str">
        <f>"600026"</f>
        <v>600026</v>
      </c>
      <c r="D711" s="5">
        <v>71.33</v>
      </c>
    </row>
    <row r="712" spans="1:4" s="7" customFormat="1" ht="23.25" customHeight="1">
      <c r="A712" s="4" t="str">
        <f>"杨双"</f>
        <v>杨双</v>
      </c>
      <c r="B712" s="4" t="str">
        <f>"5860406024111"</f>
        <v>5860406024111</v>
      </c>
      <c r="C712" s="4" t="str">
        <f aca="true" t="shared" si="33" ref="C712:C721">"600093"</f>
        <v>600093</v>
      </c>
      <c r="D712" s="5">
        <v>81.33</v>
      </c>
    </row>
    <row r="713" spans="1:4" s="7" customFormat="1" ht="23.25" customHeight="1">
      <c r="A713" s="4" t="str">
        <f>"黄德重"</f>
        <v>黄德重</v>
      </c>
      <c r="B713" s="4" t="str">
        <f>"5860406024118"</f>
        <v>5860406024118</v>
      </c>
      <c r="C713" s="4" t="str">
        <f t="shared" si="33"/>
        <v>600093</v>
      </c>
      <c r="D713" s="5">
        <v>73.67</v>
      </c>
    </row>
    <row r="714" spans="1:4" s="7" customFormat="1" ht="23.25" customHeight="1">
      <c r="A714" s="4" t="str">
        <f>"廖伶俐"</f>
        <v>廖伶俐</v>
      </c>
      <c r="B714" s="4" t="str">
        <f>"5860406024110"</f>
        <v>5860406024110</v>
      </c>
      <c r="C714" s="4" t="str">
        <f t="shared" si="33"/>
        <v>600093</v>
      </c>
      <c r="D714" s="5">
        <v>75.67</v>
      </c>
    </row>
    <row r="715" spans="1:4" s="7" customFormat="1" ht="23.25" customHeight="1">
      <c r="A715" s="4" t="str">
        <f>"沈艳秋"</f>
        <v>沈艳秋</v>
      </c>
      <c r="B715" s="4" t="str">
        <f>"5860406024112"</f>
        <v>5860406024112</v>
      </c>
      <c r="C715" s="4" t="str">
        <f t="shared" si="33"/>
        <v>600093</v>
      </c>
      <c r="D715" s="5">
        <v>79.67</v>
      </c>
    </row>
    <row r="716" spans="1:4" s="7" customFormat="1" ht="23.25" customHeight="1">
      <c r="A716" s="4" t="str">
        <f>"刘桥"</f>
        <v>刘桥</v>
      </c>
      <c r="B716" s="4" t="str">
        <f>"5860406024113"</f>
        <v>5860406024113</v>
      </c>
      <c r="C716" s="4" t="str">
        <f t="shared" si="33"/>
        <v>600093</v>
      </c>
      <c r="D716" s="5">
        <v>77.67</v>
      </c>
    </row>
    <row r="717" spans="1:4" s="7" customFormat="1" ht="23.25" customHeight="1">
      <c r="A717" s="4" t="str">
        <f>"曾丹"</f>
        <v>曾丹</v>
      </c>
      <c r="B717" s="4" t="str">
        <f>"5860406024116"</f>
        <v>5860406024116</v>
      </c>
      <c r="C717" s="4" t="str">
        <f t="shared" si="33"/>
        <v>600093</v>
      </c>
      <c r="D717" s="5">
        <v>82.67</v>
      </c>
    </row>
    <row r="718" spans="1:4" s="7" customFormat="1" ht="23.25" customHeight="1">
      <c r="A718" s="4" t="str">
        <f>"董雪琼"</f>
        <v>董雪琼</v>
      </c>
      <c r="B718" s="4" t="str">
        <f>"5860406024115"</f>
        <v>5860406024115</v>
      </c>
      <c r="C718" s="4" t="str">
        <f t="shared" si="33"/>
        <v>600093</v>
      </c>
      <c r="D718" s="5">
        <v>78.67</v>
      </c>
    </row>
    <row r="719" spans="1:4" s="7" customFormat="1" ht="23.25" customHeight="1">
      <c r="A719" s="4" t="str">
        <f>"谢琴琴"</f>
        <v>谢琴琴</v>
      </c>
      <c r="B719" s="4" t="str">
        <f>"5860406024119"</f>
        <v>5860406024119</v>
      </c>
      <c r="C719" s="4" t="str">
        <f t="shared" si="33"/>
        <v>600093</v>
      </c>
      <c r="D719" s="5">
        <v>77</v>
      </c>
    </row>
    <row r="720" spans="1:4" s="7" customFormat="1" ht="23.25" customHeight="1">
      <c r="A720" s="4" t="str">
        <f>"孙耀兵"</f>
        <v>孙耀兵</v>
      </c>
      <c r="B720" s="4" t="str">
        <f>"5860406024123"</f>
        <v>5860406024123</v>
      </c>
      <c r="C720" s="4" t="str">
        <f t="shared" si="33"/>
        <v>600093</v>
      </c>
      <c r="D720" s="5">
        <v>76.33</v>
      </c>
    </row>
    <row r="721" spans="1:4" s="7" customFormat="1" ht="23.25" customHeight="1">
      <c r="A721" s="4" t="str">
        <f>"郭红梅"</f>
        <v>郭红梅</v>
      </c>
      <c r="B721" s="4" t="str">
        <f>"5860406024109"</f>
        <v>5860406024109</v>
      </c>
      <c r="C721" s="4" t="str">
        <f t="shared" si="33"/>
        <v>600093</v>
      </c>
      <c r="D721" s="5">
        <v>81</v>
      </c>
    </row>
    <row r="722" spans="1:4" s="7" customFormat="1" ht="23.25" customHeight="1">
      <c r="A722" s="4" t="str">
        <f>"唐伟刚"</f>
        <v>唐伟刚</v>
      </c>
      <c r="B722" s="4" t="str">
        <f>"5860406024130"</f>
        <v>5860406024130</v>
      </c>
      <c r="C722" s="4" t="str">
        <f>"600094"</f>
        <v>600094</v>
      </c>
      <c r="D722" s="5">
        <v>81</v>
      </c>
    </row>
    <row r="723" spans="1:4" s="7" customFormat="1" ht="23.25" customHeight="1">
      <c r="A723" s="4" t="str">
        <f>"谢圣芬"</f>
        <v>谢圣芬</v>
      </c>
      <c r="B723" s="4" t="str">
        <f>"5860406024126"</f>
        <v>5860406024126</v>
      </c>
      <c r="C723" s="4" t="str">
        <f>"600094"</f>
        <v>600094</v>
      </c>
      <c r="D723" s="5">
        <v>78.67</v>
      </c>
    </row>
    <row r="724" spans="1:4" s="7" customFormat="1" ht="23.25" customHeight="1">
      <c r="A724" s="4" t="str">
        <f>"郭家宏"</f>
        <v>郭家宏</v>
      </c>
      <c r="B724" s="4" t="str">
        <f>"5860406024127"</f>
        <v>5860406024127</v>
      </c>
      <c r="C724" s="4" t="str">
        <f>"600094"</f>
        <v>600094</v>
      </c>
      <c r="D724" s="5">
        <v>76.67</v>
      </c>
    </row>
    <row r="725" spans="1:4" s="7" customFormat="1" ht="23.25" customHeight="1">
      <c r="A725" s="4" t="str">
        <f>"范力菁"</f>
        <v>范力菁</v>
      </c>
      <c r="B725" s="4" t="str">
        <f>"5860406024128"</f>
        <v>5860406024128</v>
      </c>
      <c r="C725" s="4" t="str">
        <f>"600094"</f>
        <v>600094</v>
      </c>
      <c r="D725" s="5">
        <v>72.67</v>
      </c>
    </row>
    <row r="726" spans="1:4" s="7" customFormat="1" ht="23.25" customHeight="1">
      <c r="A726" s="4" t="str">
        <f>"黄丹"</f>
        <v>黄丹</v>
      </c>
      <c r="B726" s="4" t="str">
        <f>"5860406011701"</f>
        <v>5860406011701</v>
      </c>
      <c r="C726" s="4" t="str">
        <f>"600021"</f>
        <v>600021</v>
      </c>
      <c r="D726" s="5">
        <v>80.83</v>
      </c>
    </row>
    <row r="727" spans="1:4" s="7" customFormat="1" ht="23.25" customHeight="1">
      <c r="A727" s="4" t="str">
        <f>"李海龙"</f>
        <v>李海龙</v>
      </c>
      <c r="B727" s="4" t="str">
        <f>"5860406011704"</f>
        <v>5860406011704</v>
      </c>
      <c r="C727" s="4" t="str">
        <f>"600021"</f>
        <v>600021</v>
      </c>
      <c r="D727" s="5" t="s">
        <v>36</v>
      </c>
    </row>
    <row r="728" spans="1:4" s="7" customFormat="1" ht="23.25" customHeight="1">
      <c r="A728" s="4" t="str">
        <f>"甘巧鹭"</f>
        <v>甘巧鹭</v>
      </c>
      <c r="B728" s="4" t="str">
        <f>"5860406011703"</f>
        <v>5860406011703</v>
      </c>
      <c r="C728" s="4" t="str">
        <f>"600021"</f>
        <v>600021</v>
      </c>
      <c r="D728" s="5">
        <v>81.83</v>
      </c>
    </row>
    <row r="729" spans="1:4" s="7" customFormat="1" ht="23.25" customHeight="1">
      <c r="A729" s="4" t="str">
        <f>"王萍"</f>
        <v>王萍</v>
      </c>
      <c r="B729" s="4" t="str">
        <f>"5860406012010"</f>
        <v>5860406012010</v>
      </c>
      <c r="C729" s="4" t="str">
        <f>"600042"</f>
        <v>600042</v>
      </c>
      <c r="D729" s="5">
        <v>81.83</v>
      </c>
    </row>
    <row r="730" spans="1:4" s="7" customFormat="1" ht="23.25" customHeight="1">
      <c r="A730" s="4" t="str">
        <f>"邓岚精"</f>
        <v>邓岚精</v>
      </c>
      <c r="B730" s="4" t="str">
        <f>"5860406012007"</f>
        <v>5860406012007</v>
      </c>
      <c r="C730" s="4" t="str">
        <f>"600042"</f>
        <v>600042</v>
      </c>
      <c r="D730" s="5" t="s">
        <v>36</v>
      </c>
    </row>
    <row r="731" spans="1:4" s="7" customFormat="1" ht="23.25" customHeight="1">
      <c r="A731" s="4" t="str">
        <f>"刘志华"</f>
        <v>刘志华</v>
      </c>
      <c r="B731" s="4" t="str">
        <f>"5860406012707"</f>
        <v>5860406012707</v>
      </c>
      <c r="C731" s="4" t="str">
        <f aca="true" t="shared" si="34" ref="C731:C748">"600056"</f>
        <v>600056</v>
      </c>
      <c r="D731" s="5">
        <v>82.17</v>
      </c>
    </row>
    <row r="732" spans="1:4" s="7" customFormat="1" ht="23.25" customHeight="1">
      <c r="A732" s="4" t="str">
        <f>"熊德运"</f>
        <v>熊德运</v>
      </c>
      <c r="B732" s="4" t="str">
        <f>"5860406012626"</f>
        <v>5860406012626</v>
      </c>
      <c r="C732" s="4" t="str">
        <f t="shared" si="34"/>
        <v>600056</v>
      </c>
      <c r="D732" s="5">
        <v>86.17</v>
      </c>
    </row>
    <row r="733" spans="1:4" s="7" customFormat="1" ht="23.25" customHeight="1">
      <c r="A733" s="4" t="str">
        <f>"刘丹"</f>
        <v>刘丹</v>
      </c>
      <c r="B733" s="4" t="str">
        <f>"5860406012709"</f>
        <v>5860406012709</v>
      </c>
      <c r="C733" s="4" t="str">
        <f t="shared" si="34"/>
        <v>600056</v>
      </c>
      <c r="D733" s="5">
        <v>84.17</v>
      </c>
    </row>
    <row r="734" spans="1:4" s="7" customFormat="1" ht="23.25" customHeight="1">
      <c r="A734" s="4" t="str">
        <f>"唐艳"</f>
        <v>唐艳</v>
      </c>
      <c r="B734" s="4" t="str">
        <f>"5860406012625"</f>
        <v>5860406012625</v>
      </c>
      <c r="C734" s="4" t="str">
        <f t="shared" si="34"/>
        <v>600056</v>
      </c>
      <c r="D734" s="5">
        <v>83.67</v>
      </c>
    </row>
    <row r="735" spans="1:4" s="7" customFormat="1" ht="23.25" customHeight="1">
      <c r="A735" s="4" t="str">
        <f>"龙琳艳"</f>
        <v>龙琳艳</v>
      </c>
      <c r="B735" s="4" t="str">
        <f>"5860406012627"</f>
        <v>5860406012627</v>
      </c>
      <c r="C735" s="4" t="str">
        <f t="shared" si="34"/>
        <v>600056</v>
      </c>
      <c r="D735" s="5">
        <v>85.33</v>
      </c>
    </row>
    <row r="736" spans="1:4" s="7" customFormat="1" ht="23.25" customHeight="1">
      <c r="A736" s="4" t="str">
        <f>"邱文关"</f>
        <v>邱文关</v>
      </c>
      <c r="B736" s="4" t="str">
        <f>"5860406012701"</f>
        <v>5860406012701</v>
      </c>
      <c r="C736" s="4" t="str">
        <f t="shared" si="34"/>
        <v>600056</v>
      </c>
      <c r="D736" s="5">
        <v>78</v>
      </c>
    </row>
    <row r="737" spans="1:4" s="7" customFormat="1" ht="23.25" customHeight="1">
      <c r="A737" s="4" t="str">
        <f>"李月清"</f>
        <v>李月清</v>
      </c>
      <c r="B737" s="4" t="str">
        <f>"5860406012624"</f>
        <v>5860406012624</v>
      </c>
      <c r="C737" s="4" t="str">
        <f t="shared" si="34"/>
        <v>600056</v>
      </c>
      <c r="D737" s="5">
        <v>85</v>
      </c>
    </row>
    <row r="738" spans="1:4" s="7" customFormat="1" ht="23.25" customHeight="1">
      <c r="A738" s="4" t="str">
        <f>"廖会会"</f>
        <v>廖会会</v>
      </c>
      <c r="B738" s="4" t="str">
        <f>"5860406012708"</f>
        <v>5860406012708</v>
      </c>
      <c r="C738" s="4" t="str">
        <f t="shared" si="34"/>
        <v>600056</v>
      </c>
      <c r="D738" s="5">
        <v>82.33</v>
      </c>
    </row>
    <row r="739" spans="1:4" s="7" customFormat="1" ht="23.25" customHeight="1">
      <c r="A739" s="4" t="str">
        <f>"邓中波"</f>
        <v>邓中波</v>
      </c>
      <c r="B739" s="4" t="str">
        <f>"5860406012623"</f>
        <v>5860406012623</v>
      </c>
      <c r="C739" s="4" t="str">
        <f t="shared" si="34"/>
        <v>600056</v>
      </c>
      <c r="D739" s="5">
        <v>82.17</v>
      </c>
    </row>
    <row r="740" spans="1:4" s="7" customFormat="1" ht="23.25" customHeight="1">
      <c r="A740" s="4" t="str">
        <f>"赵纹丽"</f>
        <v>赵纹丽</v>
      </c>
      <c r="B740" s="4" t="str">
        <f>"5860406012705"</f>
        <v>5860406012705</v>
      </c>
      <c r="C740" s="4" t="str">
        <f t="shared" si="34"/>
        <v>600056</v>
      </c>
      <c r="D740" s="5">
        <v>85.17</v>
      </c>
    </row>
    <row r="741" spans="1:4" s="7" customFormat="1" ht="23.25" customHeight="1">
      <c r="A741" s="4" t="str">
        <f>"王小林"</f>
        <v>王小林</v>
      </c>
      <c r="B741" s="4" t="str">
        <f>"5860406012704"</f>
        <v>5860406012704</v>
      </c>
      <c r="C741" s="4" t="str">
        <f t="shared" si="34"/>
        <v>600056</v>
      </c>
      <c r="D741" s="5">
        <v>85.67</v>
      </c>
    </row>
    <row r="742" spans="1:4" s="7" customFormat="1" ht="23.25" customHeight="1">
      <c r="A742" s="4" t="str">
        <f>"郑莉"</f>
        <v>郑莉</v>
      </c>
      <c r="B742" s="4" t="str">
        <f>"5860406012621"</f>
        <v>5860406012621</v>
      </c>
      <c r="C742" s="4" t="str">
        <f t="shared" si="34"/>
        <v>600056</v>
      </c>
      <c r="D742" s="5">
        <v>84.67</v>
      </c>
    </row>
    <row r="743" spans="1:4" s="7" customFormat="1" ht="23.25" customHeight="1">
      <c r="A743" s="4" t="str">
        <f>"吴后山"</f>
        <v>吴后山</v>
      </c>
      <c r="B743" s="4" t="str">
        <f>"5860406012706"</f>
        <v>5860406012706</v>
      </c>
      <c r="C743" s="4" t="str">
        <f t="shared" si="34"/>
        <v>600056</v>
      </c>
      <c r="D743" s="5" t="s">
        <v>36</v>
      </c>
    </row>
    <row r="744" spans="1:4" s="7" customFormat="1" ht="23.25" customHeight="1">
      <c r="A744" s="4" t="str">
        <f>"周淑龙"</f>
        <v>周淑龙</v>
      </c>
      <c r="B744" s="4" t="str">
        <f>"5860406012620"</f>
        <v>5860406012620</v>
      </c>
      <c r="C744" s="4" t="str">
        <f t="shared" si="34"/>
        <v>600056</v>
      </c>
      <c r="D744" s="5">
        <v>81</v>
      </c>
    </row>
    <row r="745" spans="1:4" s="7" customFormat="1" ht="23.25" customHeight="1">
      <c r="A745" s="4" t="str">
        <f>"文加珍"</f>
        <v>文加珍</v>
      </c>
      <c r="B745" s="4" t="str">
        <f>"5860406012702"</f>
        <v>5860406012702</v>
      </c>
      <c r="C745" s="4" t="str">
        <f t="shared" si="34"/>
        <v>600056</v>
      </c>
      <c r="D745" s="5">
        <v>84.5</v>
      </c>
    </row>
    <row r="746" spans="1:4" s="7" customFormat="1" ht="23.25" customHeight="1">
      <c r="A746" s="4" t="str">
        <f>"夏翔"</f>
        <v>夏翔</v>
      </c>
      <c r="B746" s="4" t="str">
        <f>"5860406012622"</f>
        <v>5860406012622</v>
      </c>
      <c r="C746" s="4" t="str">
        <f t="shared" si="34"/>
        <v>600056</v>
      </c>
      <c r="D746" s="5" t="s">
        <v>36</v>
      </c>
    </row>
    <row r="747" spans="1:4" s="7" customFormat="1" ht="23.25" customHeight="1">
      <c r="A747" s="4" t="str">
        <f>"张飞"</f>
        <v>张飞</v>
      </c>
      <c r="B747" s="4" t="str">
        <f>"5860406012619"</f>
        <v>5860406012619</v>
      </c>
      <c r="C747" s="4" t="str">
        <f t="shared" si="34"/>
        <v>600056</v>
      </c>
      <c r="D747" s="5">
        <v>85.33</v>
      </c>
    </row>
    <row r="748" spans="1:4" s="7" customFormat="1" ht="23.25" customHeight="1">
      <c r="A748" s="4" t="str">
        <f>"宋广东"</f>
        <v>宋广东</v>
      </c>
      <c r="B748" s="4" t="str">
        <f>"5860406012630"</f>
        <v>5860406012630</v>
      </c>
      <c r="C748" s="4" t="str">
        <f t="shared" si="34"/>
        <v>600056</v>
      </c>
      <c r="D748" s="5">
        <v>84.83</v>
      </c>
    </row>
    <row r="749" spans="1:4" s="7" customFormat="1" ht="23.25" customHeight="1">
      <c r="A749" s="4" t="str">
        <f>"唐丹丹"</f>
        <v>唐丹丹</v>
      </c>
      <c r="B749" s="4" t="str">
        <f>"5860406011706"</f>
        <v>5860406011706</v>
      </c>
      <c r="C749" s="4" t="str">
        <f aca="true" t="shared" si="35" ref="C749:C754">"600022"</f>
        <v>600022</v>
      </c>
      <c r="D749" s="5">
        <v>81.67</v>
      </c>
    </row>
    <row r="750" spans="1:4" s="7" customFormat="1" ht="23.25" customHeight="1">
      <c r="A750" s="4" t="str">
        <f>"江丽"</f>
        <v>江丽</v>
      </c>
      <c r="B750" s="4" t="str">
        <f>"5860406011707"</f>
        <v>5860406011707</v>
      </c>
      <c r="C750" s="4" t="str">
        <f t="shared" si="35"/>
        <v>600022</v>
      </c>
      <c r="D750" s="5">
        <v>78.67</v>
      </c>
    </row>
    <row r="751" spans="1:4" s="7" customFormat="1" ht="23.25" customHeight="1">
      <c r="A751" s="4" t="str">
        <f>"段小龙"</f>
        <v>段小龙</v>
      </c>
      <c r="B751" s="4" t="str">
        <f>"5860406011709"</f>
        <v>5860406011709</v>
      </c>
      <c r="C751" s="4" t="str">
        <f t="shared" si="35"/>
        <v>600022</v>
      </c>
      <c r="D751" s="5">
        <v>84</v>
      </c>
    </row>
    <row r="752" spans="1:4" s="7" customFormat="1" ht="23.25" customHeight="1">
      <c r="A752" s="4" t="str">
        <f>"蒋成伟"</f>
        <v>蒋成伟</v>
      </c>
      <c r="B752" s="4" t="str">
        <f>"5860406011708"</f>
        <v>5860406011708</v>
      </c>
      <c r="C752" s="4" t="str">
        <f t="shared" si="35"/>
        <v>600022</v>
      </c>
      <c r="D752" s="5">
        <v>84</v>
      </c>
    </row>
    <row r="753" spans="1:4" s="7" customFormat="1" ht="23.25" customHeight="1">
      <c r="A753" s="4" t="str">
        <f>"刘军"</f>
        <v>刘军</v>
      </c>
      <c r="B753" s="4" t="str">
        <f>"5860406011705"</f>
        <v>5860406011705</v>
      </c>
      <c r="C753" s="4" t="str">
        <f t="shared" si="35"/>
        <v>600022</v>
      </c>
      <c r="D753" s="5">
        <v>84.67</v>
      </c>
    </row>
    <row r="754" spans="1:4" s="7" customFormat="1" ht="23.25" customHeight="1">
      <c r="A754" s="4" t="str">
        <f>"唐炜"</f>
        <v>唐炜</v>
      </c>
      <c r="B754" s="4" t="str">
        <f>"5860406011710"</f>
        <v>5860406011710</v>
      </c>
      <c r="C754" s="4" t="str">
        <f t="shared" si="35"/>
        <v>600022</v>
      </c>
      <c r="D754" s="5">
        <v>75.67</v>
      </c>
    </row>
    <row r="755" spans="1:4" s="7" customFormat="1" ht="23.25" customHeight="1">
      <c r="A755" s="4" t="str">
        <f>"郭巍"</f>
        <v>郭巍</v>
      </c>
      <c r="B755" s="4" t="str">
        <f>"5860406011907"</f>
        <v>5860406011907</v>
      </c>
      <c r="C755" s="4" t="str">
        <f>"600036"</f>
        <v>600036</v>
      </c>
      <c r="D755" s="5">
        <v>78.67</v>
      </c>
    </row>
    <row r="756" spans="1:4" s="7" customFormat="1" ht="23.25" customHeight="1">
      <c r="A756" s="4" t="str">
        <f>"何明雪"</f>
        <v>何明雪</v>
      </c>
      <c r="B756" s="4" t="str">
        <f>"5860406011911"</f>
        <v>5860406011911</v>
      </c>
      <c r="C756" s="4" t="str">
        <f>"600036"</f>
        <v>600036</v>
      </c>
      <c r="D756" s="5">
        <v>81.67</v>
      </c>
    </row>
    <row r="757" spans="1:4" s="7" customFormat="1" ht="23.25" customHeight="1">
      <c r="A757" s="4" t="str">
        <f>"廖恒"</f>
        <v>廖恒</v>
      </c>
      <c r="B757" s="4" t="str">
        <f>"5860406011908"</f>
        <v>5860406011908</v>
      </c>
      <c r="C757" s="4" t="str">
        <f>"600036"</f>
        <v>600036</v>
      </c>
      <c r="D757" s="5">
        <v>79.67</v>
      </c>
    </row>
    <row r="758" spans="1:4" s="7" customFormat="1" ht="23.25" customHeight="1">
      <c r="A758" s="4" t="str">
        <f>"王淑鸿"</f>
        <v>王淑鸿</v>
      </c>
      <c r="B758" s="4" t="str">
        <f>"5860406011922"</f>
        <v>5860406011922</v>
      </c>
      <c r="C758" s="4" t="str">
        <f>"600039"</f>
        <v>600039</v>
      </c>
      <c r="D758" s="5">
        <v>80.67</v>
      </c>
    </row>
    <row r="759" spans="1:4" s="7" customFormat="1" ht="23.25" customHeight="1">
      <c r="A759" s="4" t="str">
        <f>"朱顺祝"</f>
        <v>朱顺祝</v>
      </c>
      <c r="B759" s="4" t="str">
        <f>"5860406011921"</f>
        <v>5860406011921</v>
      </c>
      <c r="C759" s="4" t="str">
        <f>"600039"</f>
        <v>600039</v>
      </c>
      <c r="D759" s="5">
        <v>78.33</v>
      </c>
    </row>
    <row r="760" spans="1:4" s="7" customFormat="1" ht="23.25" customHeight="1">
      <c r="A760" s="4" t="str">
        <f>"黄茜"</f>
        <v>黄茜</v>
      </c>
      <c r="B760" s="4" t="str">
        <f>"5860406011923"</f>
        <v>5860406011923</v>
      </c>
      <c r="C760" s="4" t="str">
        <f>"600039"</f>
        <v>600039</v>
      </c>
      <c r="D760" s="5" t="s">
        <v>36</v>
      </c>
    </row>
    <row r="761" spans="1:4" s="7" customFormat="1" ht="23.25" customHeight="1">
      <c r="A761" s="4" t="str">
        <f>"周盛君"</f>
        <v>周盛君</v>
      </c>
      <c r="B761" s="4" t="str">
        <f>"5860406011924"</f>
        <v>5860406011924</v>
      </c>
      <c r="C761" s="4" t="str">
        <f>"600039"</f>
        <v>600039</v>
      </c>
      <c r="D761" s="5" t="s">
        <v>36</v>
      </c>
    </row>
    <row r="762" spans="1:4" s="7" customFormat="1" ht="23.25" customHeight="1">
      <c r="A762" s="4" t="str">
        <f>"廖丹"</f>
        <v>廖丹</v>
      </c>
      <c r="B762" s="4" t="str">
        <f>"5860406011423"</f>
        <v>5860406011423</v>
      </c>
      <c r="C762" s="4" t="str">
        <f>"600016"</f>
        <v>600016</v>
      </c>
      <c r="D762" s="5">
        <v>84</v>
      </c>
    </row>
    <row r="763" spans="1:4" s="7" customFormat="1" ht="23.25" customHeight="1">
      <c r="A763" s="4" t="str">
        <f>"闫露"</f>
        <v>闫露</v>
      </c>
      <c r="B763" s="4" t="str">
        <f>"5860406011425"</f>
        <v>5860406011425</v>
      </c>
      <c r="C763" s="4" t="str">
        <f>"600016"</f>
        <v>600016</v>
      </c>
      <c r="D763" s="5">
        <v>83.33</v>
      </c>
    </row>
    <row r="764" spans="1:4" s="7" customFormat="1" ht="23.25" customHeight="1">
      <c r="A764" s="4" t="str">
        <f>"沈婉婷"</f>
        <v>沈婉婷</v>
      </c>
      <c r="B764" s="4" t="str">
        <f>"5860406012710"</f>
        <v>5860406012710</v>
      </c>
      <c r="C764" s="4" t="str">
        <f aca="true" t="shared" si="36" ref="C764:C772">"600057"</f>
        <v>600057</v>
      </c>
      <c r="D764" s="5">
        <v>85.67</v>
      </c>
    </row>
    <row r="765" spans="1:4" s="7" customFormat="1" ht="23.25" customHeight="1">
      <c r="A765" s="4" t="str">
        <f>"张润芳"</f>
        <v>张润芳</v>
      </c>
      <c r="B765" s="4" t="str">
        <f>"5860406012713"</f>
        <v>5860406012713</v>
      </c>
      <c r="C765" s="4" t="str">
        <f t="shared" si="36"/>
        <v>600057</v>
      </c>
      <c r="D765" s="5">
        <v>82.33</v>
      </c>
    </row>
    <row r="766" spans="1:4" s="7" customFormat="1" ht="23.25" customHeight="1">
      <c r="A766" s="4" t="str">
        <f>"徐梦娅"</f>
        <v>徐梦娅</v>
      </c>
      <c r="B766" s="4" t="str">
        <f>"5860406012718"</f>
        <v>5860406012718</v>
      </c>
      <c r="C766" s="4" t="str">
        <f t="shared" si="36"/>
        <v>600057</v>
      </c>
      <c r="D766" s="5">
        <v>83</v>
      </c>
    </row>
    <row r="767" spans="1:4" s="7" customFormat="1" ht="23.25" customHeight="1">
      <c r="A767" s="4" t="str">
        <f>"徐仕能"</f>
        <v>徐仕能</v>
      </c>
      <c r="B767" s="4" t="str">
        <f>"5860406012715"</f>
        <v>5860406012715</v>
      </c>
      <c r="C767" s="4" t="str">
        <f t="shared" si="36"/>
        <v>600057</v>
      </c>
      <c r="D767" s="5">
        <v>83.33</v>
      </c>
    </row>
    <row r="768" spans="1:4" s="7" customFormat="1" ht="23.25" customHeight="1">
      <c r="A768" s="4" t="str">
        <f>"杨珮珮"</f>
        <v>杨珮珮</v>
      </c>
      <c r="B768" s="4" t="str">
        <f>"5860406012714"</f>
        <v>5860406012714</v>
      </c>
      <c r="C768" s="4" t="str">
        <f t="shared" si="36"/>
        <v>600057</v>
      </c>
      <c r="D768" s="5">
        <v>84</v>
      </c>
    </row>
    <row r="769" spans="1:4" s="7" customFormat="1" ht="23.25" customHeight="1">
      <c r="A769" s="4" t="str">
        <f>"陈虹达"</f>
        <v>陈虹达</v>
      </c>
      <c r="B769" s="4" t="str">
        <f>"5860406012712"</f>
        <v>5860406012712</v>
      </c>
      <c r="C769" s="4" t="str">
        <f t="shared" si="36"/>
        <v>600057</v>
      </c>
      <c r="D769" s="5" t="s">
        <v>36</v>
      </c>
    </row>
    <row r="770" spans="1:4" s="7" customFormat="1" ht="23.25" customHeight="1">
      <c r="A770" s="4" t="str">
        <f>"耿远翠"</f>
        <v>耿远翠</v>
      </c>
      <c r="B770" s="4" t="str">
        <f>"5860406012716"</f>
        <v>5860406012716</v>
      </c>
      <c r="C770" s="4" t="str">
        <f t="shared" si="36"/>
        <v>600057</v>
      </c>
      <c r="D770" s="5">
        <v>83.33</v>
      </c>
    </row>
    <row r="771" spans="1:4" s="7" customFormat="1" ht="23.25" customHeight="1">
      <c r="A771" s="4" t="str">
        <f>"王大凤"</f>
        <v>王大凤</v>
      </c>
      <c r="B771" s="4" t="str">
        <f>"5860406012711"</f>
        <v>5860406012711</v>
      </c>
      <c r="C771" s="4" t="str">
        <f t="shared" si="36"/>
        <v>600057</v>
      </c>
      <c r="D771" s="5">
        <v>78</v>
      </c>
    </row>
    <row r="772" spans="1:4" s="7" customFormat="1" ht="23.25" customHeight="1">
      <c r="A772" s="4" t="str">
        <f>"胡丁祥"</f>
        <v>胡丁祥</v>
      </c>
      <c r="B772" s="4" t="str">
        <f>"5860406012719"</f>
        <v>5860406012719</v>
      </c>
      <c r="C772" s="4" t="str">
        <f t="shared" si="36"/>
        <v>600057</v>
      </c>
      <c r="D772" s="5" t="s">
        <v>36</v>
      </c>
    </row>
    <row r="773" spans="1:4" s="7" customFormat="1" ht="23.25" customHeight="1">
      <c r="A773" s="4" t="str">
        <f>"谢宇"</f>
        <v>谢宇</v>
      </c>
      <c r="B773" s="4" t="str">
        <f>"5860406012017"</f>
        <v>5860406012017</v>
      </c>
      <c r="C773" s="4" t="str">
        <f>"600045"</f>
        <v>600045</v>
      </c>
      <c r="D773" s="5">
        <v>83.67</v>
      </c>
    </row>
    <row r="774" spans="1:4" s="7" customFormat="1" ht="23.25" customHeight="1">
      <c r="A774" s="4" t="str">
        <f>"苟博"</f>
        <v>苟博</v>
      </c>
      <c r="B774" s="4" t="str">
        <f>"5860406012016"</f>
        <v>5860406012016</v>
      </c>
      <c r="C774" s="4" t="str">
        <f>"600045"</f>
        <v>600045</v>
      </c>
      <c r="D774" s="5">
        <v>83.33</v>
      </c>
    </row>
    <row r="775" spans="1:4" s="7" customFormat="1" ht="23.25" customHeight="1">
      <c r="A775" s="4" t="str">
        <f>"程小雯"</f>
        <v>程小雯</v>
      </c>
      <c r="B775" s="4" t="str">
        <f>"5860406012721"</f>
        <v>5860406012721</v>
      </c>
      <c r="C775" s="4" t="str">
        <f aca="true" t="shared" si="37" ref="C775:C780">"600058"</f>
        <v>600058</v>
      </c>
      <c r="D775" s="5">
        <v>80.33</v>
      </c>
    </row>
    <row r="776" spans="1:4" s="7" customFormat="1" ht="23.25" customHeight="1">
      <c r="A776" s="4" t="str">
        <f>"阮开平"</f>
        <v>阮开平</v>
      </c>
      <c r="B776" s="4" t="str">
        <f>"5860406012722"</f>
        <v>5860406012722</v>
      </c>
      <c r="C776" s="4" t="str">
        <f t="shared" si="37"/>
        <v>600058</v>
      </c>
      <c r="D776" s="5">
        <v>74.33</v>
      </c>
    </row>
    <row r="777" spans="1:4" s="7" customFormat="1" ht="23.25" customHeight="1">
      <c r="A777" s="4" t="str">
        <f>"岳长春"</f>
        <v>岳长春</v>
      </c>
      <c r="B777" s="4" t="str">
        <f>"5860406012725"</f>
        <v>5860406012725</v>
      </c>
      <c r="C777" s="4" t="str">
        <f t="shared" si="37"/>
        <v>600058</v>
      </c>
      <c r="D777" s="5">
        <v>79.33</v>
      </c>
    </row>
    <row r="778" spans="1:4" s="7" customFormat="1" ht="23.25" customHeight="1">
      <c r="A778" s="4" t="str">
        <f>"罗鑫"</f>
        <v>罗鑫</v>
      </c>
      <c r="B778" s="4" t="str">
        <f>"5860406012724"</f>
        <v>5860406012724</v>
      </c>
      <c r="C778" s="4" t="str">
        <f t="shared" si="37"/>
        <v>600058</v>
      </c>
      <c r="D778" s="5">
        <v>81</v>
      </c>
    </row>
    <row r="779" spans="1:4" s="7" customFormat="1" ht="23.25" customHeight="1">
      <c r="A779" s="4" t="str">
        <f>"谭敏"</f>
        <v>谭敏</v>
      </c>
      <c r="B779" s="4" t="str">
        <f>"5860406012726"</f>
        <v>5860406012726</v>
      </c>
      <c r="C779" s="4" t="str">
        <f t="shared" si="37"/>
        <v>600058</v>
      </c>
      <c r="D779" s="5" t="s">
        <v>36</v>
      </c>
    </row>
    <row r="780" spans="1:4" s="7" customFormat="1" ht="23.25" customHeight="1">
      <c r="A780" s="4" t="str">
        <f>"杨毓琳"</f>
        <v>杨毓琳</v>
      </c>
      <c r="B780" s="4" t="str">
        <f>"5860406012723"</f>
        <v>5860406012723</v>
      </c>
      <c r="C780" s="4" t="str">
        <f t="shared" si="37"/>
        <v>600058</v>
      </c>
      <c r="D780" s="5">
        <v>83.33</v>
      </c>
    </row>
    <row r="781" spans="1:4" s="7" customFormat="1" ht="23.25" customHeight="1">
      <c r="A781" s="4" t="str">
        <f>"张怀英"</f>
        <v>张怀英</v>
      </c>
      <c r="B781" s="4" t="str">
        <f>"5860406013613"</f>
        <v>5860406013613</v>
      </c>
      <c r="C781" s="4" t="str">
        <f aca="true" t="shared" si="38" ref="C781:C809">"600066"</f>
        <v>600066</v>
      </c>
      <c r="D781" s="5">
        <v>82.33</v>
      </c>
    </row>
    <row r="782" spans="1:4" s="7" customFormat="1" ht="23.25" customHeight="1">
      <c r="A782" s="4" t="str">
        <f>"郭迪"</f>
        <v>郭迪</v>
      </c>
      <c r="B782" s="4" t="str">
        <f>"5860406013724"</f>
        <v>5860406013724</v>
      </c>
      <c r="C782" s="4" t="str">
        <f t="shared" si="38"/>
        <v>600066</v>
      </c>
      <c r="D782" s="5">
        <v>78.67</v>
      </c>
    </row>
    <row r="783" spans="1:4" s="7" customFormat="1" ht="23.25" customHeight="1">
      <c r="A783" s="4" t="str">
        <f>"夏邱玲"</f>
        <v>夏邱玲</v>
      </c>
      <c r="B783" s="4" t="str">
        <f>"5860406013628"</f>
        <v>5860406013628</v>
      </c>
      <c r="C783" s="4" t="str">
        <f t="shared" si="38"/>
        <v>600066</v>
      </c>
      <c r="D783" s="5">
        <v>81.33</v>
      </c>
    </row>
    <row r="784" spans="1:4" s="7" customFormat="1" ht="23.25" customHeight="1">
      <c r="A784" s="4" t="str">
        <f>"周泽玲"</f>
        <v>周泽玲</v>
      </c>
      <c r="B784" s="4" t="str">
        <f>"5860406013702"</f>
        <v>5860406013702</v>
      </c>
      <c r="C784" s="4" t="str">
        <f t="shared" si="38"/>
        <v>600066</v>
      </c>
      <c r="D784" s="5">
        <v>82</v>
      </c>
    </row>
    <row r="785" spans="1:4" s="7" customFormat="1" ht="23.25" customHeight="1">
      <c r="A785" s="4" t="str">
        <f>"蒋莎"</f>
        <v>蒋莎</v>
      </c>
      <c r="B785" s="4" t="str">
        <f>"5860406013703"</f>
        <v>5860406013703</v>
      </c>
      <c r="C785" s="4" t="str">
        <f t="shared" si="38"/>
        <v>600066</v>
      </c>
      <c r="D785" s="5">
        <v>79.33</v>
      </c>
    </row>
    <row r="786" spans="1:4" s="7" customFormat="1" ht="23.25" customHeight="1">
      <c r="A786" s="4" t="str">
        <f>"田娟"</f>
        <v>田娟</v>
      </c>
      <c r="B786" s="4" t="str">
        <f>"5860406013707"</f>
        <v>5860406013707</v>
      </c>
      <c r="C786" s="4" t="str">
        <f t="shared" si="38"/>
        <v>600066</v>
      </c>
      <c r="D786" s="5">
        <v>80.33</v>
      </c>
    </row>
    <row r="787" spans="1:4" s="7" customFormat="1" ht="23.25" customHeight="1">
      <c r="A787" s="4" t="str">
        <f>"牟雨虹"</f>
        <v>牟雨虹</v>
      </c>
      <c r="B787" s="4" t="str">
        <f>"5860406013706"</f>
        <v>5860406013706</v>
      </c>
      <c r="C787" s="4" t="str">
        <f t="shared" si="38"/>
        <v>600066</v>
      </c>
      <c r="D787" s="5">
        <v>83.67</v>
      </c>
    </row>
    <row r="788" spans="1:4" s="7" customFormat="1" ht="23.25" customHeight="1">
      <c r="A788" s="4" t="str">
        <f>"肖莉"</f>
        <v>肖莉</v>
      </c>
      <c r="B788" s="4" t="str">
        <f>"5860406013711"</f>
        <v>5860406013711</v>
      </c>
      <c r="C788" s="4" t="str">
        <f t="shared" si="38"/>
        <v>600066</v>
      </c>
      <c r="D788" s="5">
        <v>79.67</v>
      </c>
    </row>
    <row r="789" spans="1:4" s="7" customFormat="1" ht="23.25" customHeight="1">
      <c r="A789" s="4" t="str">
        <f>"黄博"</f>
        <v>黄博</v>
      </c>
      <c r="B789" s="4" t="str">
        <f>"5860406013722"</f>
        <v>5860406013722</v>
      </c>
      <c r="C789" s="4" t="str">
        <f t="shared" si="38"/>
        <v>600066</v>
      </c>
      <c r="D789" s="5">
        <v>79.33</v>
      </c>
    </row>
    <row r="790" spans="1:4" s="7" customFormat="1" ht="23.25" customHeight="1">
      <c r="A790" s="4" t="str">
        <f>"魏莹"</f>
        <v>魏莹</v>
      </c>
      <c r="B790" s="4" t="str">
        <f>"5860406013630"</f>
        <v>5860406013630</v>
      </c>
      <c r="C790" s="4" t="str">
        <f t="shared" si="38"/>
        <v>600066</v>
      </c>
      <c r="D790" s="5">
        <v>84.33</v>
      </c>
    </row>
    <row r="791" spans="1:4" s="7" customFormat="1" ht="23.25" customHeight="1">
      <c r="A791" s="4" t="str">
        <f>"王婷"</f>
        <v>王婷</v>
      </c>
      <c r="B791" s="4" t="str">
        <f>"5860406013725"</f>
        <v>5860406013725</v>
      </c>
      <c r="C791" s="4" t="str">
        <f t="shared" si="38"/>
        <v>600066</v>
      </c>
      <c r="D791" s="5">
        <v>82</v>
      </c>
    </row>
    <row r="792" spans="1:4" s="7" customFormat="1" ht="23.25" customHeight="1">
      <c r="A792" s="4" t="str">
        <f>"伍霞"</f>
        <v>伍霞</v>
      </c>
      <c r="B792" s="4" t="str">
        <f>"5860406013616"</f>
        <v>5860406013616</v>
      </c>
      <c r="C792" s="4" t="str">
        <f t="shared" si="38"/>
        <v>600066</v>
      </c>
      <c r="D792" s="5">
        <v>75.67</v>
      </c>
    </row>
    <row r="793" spans="1:4" s="7" customFormat="1" ht="23.25" customHeight="1">
      <c r="A793" s="4" t="str">
        <f>"刘珊"</f>
        <v>刘珊</v>
      </c>
      <c r="B793" s="4" t="str">
        <f>"5860406013625"</f>
        <v>5860406013625</v>
      </c>
      <c r="C793" s="4" t="str">
        <f t="shared" si="38"/>
        <v>600066</v>
      </c>
      <c r="D793" s="5">
        <v>79</v>
      </c>
    </row>
    <row r="794" spans="1:4" s="7" customFormat="1" ht="23.25" customHeight="1">
      <c r="A794" s="4" t="str">
        <f>"苏清"</f>
        <v>苏清</v>
      </c>
      <c r="B794" s="4" t="str">
        <f>"5860406013627"</f>
        <v>5860406013627</v>
      </c>
      <c r="C794" s="4" t="str">
        <f t="shared" si="38"/>
        <v>600066</v>
      </c>
      <c r="D794" s="5" t="s">
        <v>36</v>
      </c>
    </row>
    <row r="795" spans="1:4" s="7" customFormat="1" ht="23.25" customHeight="1">
      <c r="A795" s="4" t="str">
        <f>"陈鹏熹"</f>
        <v>陈鹏熹</v>
      </c>
      <c r="B795" s="4" t="str">
        <f>"5860406013712"</f>
        <v>5860406013712</v>
      </c>
      <c r="C795" s="4" t="str">
        <f t="shared" si="38"/>
        <v>600066</v>
      </c>
      <c r="D795" s="5">
        <v>86.67</v>
      </c>
    </row>
    <row r="796" spans="1:4" s="7" customFormat="1" ht="23.25" customHeight="1">
      <c r="A796" s="4" t="str">
        <f>"尹琴"</f>
        <v>尹琴</v>
      </c>
      <c r="B796" s="4" t="str">
        <f>"5860406013727"</f>
        <v>5860406013727</v>
      </c>
      <c r="C796" s="4" t="str">
        <f t="shared" si="38"/>
        <v>600066</v>
      </c>
      <c r="D796" s="5">
        <v>78.67</v>
      </c>
    </row>
    <row r="797" spans="1:4" s="7" customFormat="1" ht="23.25" customHeight="1">
      <c r="A797" s="4" t="str">
        <f>"沈娅"</f>
        <v>沈娅</v>
      </c>
      <c r="B797" s="4" t="str">
        <f>"5860406013723"</f>
        <v>5860406013723</v>
      </c>
      <c r="C797" s="4" t="str">
        <f t="shared" si="38"/>
        <v>600066</v>
      </c>
      <c r="D797" s="5">
        <v>81.33</v>
      </c>
    </row>
    <row r="798" spans="1:4" s="7" customFormat="1" ht="23.25" customHeight="1">
      <c r="A798" s="4" t="str">
        <f>"廖春梅"</f>
        <v>廖春梅</v>
      </c>
      <c r="B798" s="4" t="str">
        <f>"5860406013729"</f>
        <v>5860406013729</v>
      </c>
      <c r="C798" s="4" t="str">
        <f t="shared" si="38"/>
        <v>600066</v>
      </c>
      <c r="D798" s="5">
        <v>76.33</v>
      </c>
    </row>
    <row r="799" spans="1:4" s="7" customFormat="1" ht="23.25" customHeight="1">
      <c r="A799" s="4" t="str">
        <f>"余小会"</f>
        <v>余小会</v>
      </c>
      <c r="B799" s="4" t="str">
        <f>"5860406013626"</f>
        <v>5860406013626</v>
      </c>
      <c r="C799" s="4" t="str">
        <f t="shared" si="38"/>
        <v>600066</v>
      </c>
      <c r="D799" s="5">
        <v>79.67</v>
      </c>
    </row>
    <row r="800" spans="1:4" s="7" customFormat="1" ht="23.25" customHeight="1">
      <c r="A800" s="4" t="str">
        <f>"许中琴"</f>
        <v>许中琴</v>
      </c>
      <c r="B800" s="4" t="str">
        <f>"5860406013710"</f>
        <v>5860406013710</v>
      </c>
      <c r="C800" s="4" t="str">
        <f t="shared" si="38"/>
        <v>600066</v>
      </c>
      <c r="D800" s="5">
        <v>79.67</v>
      </c>
    </row>
    <row r="801" spans="1:4" s="7" customFormat="1" ht="23.25" customHeight="1">
      <c r="A801" s="4" t="str">
        <f>"陈恋萱"</f>
        <v>陈恋萱</v>
      </c>
      <c r="B801" s="4" t="str">
        <f>"5860406013623"</f>
        <v>5860406013623</v>
      </c>
      <c r="C801" s="4" t="str">
        <f t="shared" si="38"/>
        <v>600066</v>
      </c>
      <c r="D801" s="5">
        <v>81.33</v>
      </c>
    </row>
    <row r="802" spans="1:4" s="7" customFormat="1" ht="23.25" customHeight="1">
      <c r="A802" s="4" t="str">
        <f>"赖智林"</f>
        <v>赖智林</v>
      </c>
      <c r="B802" s="4" t="str">
        <f>"5860406013624"</f>
        <v>5860406013624</v>
      </c>
      <c r="C802" s="4" t="str">
        <f t="shared" si="38"/>
        <v>600066</v>
      </c>
      <c r="D802" s="5">
        <v>82.33</v>
      </c>
    </row>
    <row r="803" spans="1:4" s="7" customFormat="1" ht="23.25" customHeight="1">
      <c r="A803" s="4" t="str">
        <f>"陈尧花"</f>
        <v>陈尧花</v>
      </c>
      <c r="B803" s="4" t="str">
        <f>"5860406013629"</f>
        <v>5860406013629</v>
      </c>
      <c r="C803" s="4" t="str">
        <f t="shared" si="38"/>
        <v>600066</v>
      </c>
      <c r="D803" s="5">
        <v>81.33</v>
      </c>
    </row>
    <row r="804" spans="1:4" s="7" customFormat="1" ht="23.25" customHeight="1">
      <c r="A804" s="4" t="str">
        <f>"唐凡舒"</f>
        <v>唐凡舒</v>
      </c>
      <c r="B804" s="4" t="str">
        <f>"5860406013716"</f>
        <v>5860406013716</v>
      </c>
      <c r="C804" s="4" t="str">
        <f t="shared" si="38"/>
        <v>600066</v>
      </c>
      <c r="D804" s="5" t="s">
        <v>36</v>
      </c>
    </row>
    <row r="805" spans="1:4" s="7" customFormat="1" ht="23.25" customHeight="1">
      <c r="A805" s="4" t="str">
        <f>"蒋小琴"</f>
        <v>蒋小琴</v>
      </c>
      <c r="B805" s="4" t="str">
        <f>"5860406013721"</f>
        <v>5860406013721</v>
      </c>
      <c r="C805" s="4" t="str">
        <f t="shared" si="38"/>
        <v>600066</v>
      </c>
      <c r="D805" s="5">
        <v>86.33</v>
      </c>
    </row>
    <row r="806" spans="1:4" s="7" customFormat="1" ht="23.25" customHeight="1">
      <c r="A806" s="4" t="str">
        <f>"曾惜"</f>
        <v>曾惜</v>
      </c>
      <c r="B806" s="4" t="str">
        <f>"5860406013614"</f>
        <v>5860406013614</v>
      </c>
      <c r="C806" s="4" t="str">
        <f t="shared" si="38"/>
        <v>600066</v>
      </c>
      <c r="D806" s="5">
        <v>81</v>
      </c>
    </row>
    <row r="807" spans="1:4" s="7" customFormat="1" ht="23.25" customHeight="1">
      <c r="A807" s="4" t="str">
        <f>"黄宇霆"</f>
        <v>黄宇霆</v>
      </c>
      <c r="B807" s="4" t="str">
        <f>"5860406013717"</f>
        <v>5860406013717</v>
      </c>
      <c r="C807" s="4" t="str">
        <f t="shared" si="38"/>
        <v>600066</v>
      </c>
      <c r="D807" s="5">
        <v>77.33</v>
      </c>
    </row>
    <row r="808" spans="1:4" s="7" customFormat="1" ht="23.25" customHeight="1">
      <c r="A808" s="4" t="str">
        <f>"冯莉"</f>
        <v>冯莉</v>
      </c>
      <c r="B808" s="4" t="str">
        <f>"5860406013608"</f>
        <v>5860406013608</v>
      </c>
      <c r="C808" s="4" t="str">
        <f t="shared" si="38"/>
        <v>600066</v>
      </c>
      <c r="D808" s="5" t="s">
        <v>36</v>
      </c>
    </row>
    <row r="809" spans="1:4" s="7" customFormat="1" ht="23.25" customHeight="1">
      <c r="A809" s="4" t="str">
        <f>"刘慧君"</f>
        <v>刘慧君</v>
      </c>
      <c r="B809" s="4" t="str">
        <f>"5860406013622"</f>
        <v>5860406013622</v>
      </c>
      <c r="C809" s="4" t="str">
        <f t="shared" si="38"/>
        <v>600066</v>
      </c>
      <c r="D809" s="5">
        <v>80</v>
      </c>
    </row>
    <row r="810" spans="1:4" s="7" customFormat="1" ht="23.25" customHeight="1">
      <c r="A810" s="4" t="str">
        <f>"任亮"</f>
        <v>任亮</v>
      </c>
      <c r="B810" s="4" t="str">
        <f>"5860406013822"</f>
        <v>5860406013822</v>
      </c>
      <c r="C810" s="4" t="str">
        <f aca="true" t="shared" si="39" ref="C810:C836">"600067"</f>
        <v>600067</v>
      </c>
      <c r="D810" s="5">
        <v>77.67</v>
      </c>
    </row>
    <row r="811" spans="1:4" s="7" customFormat="1" ht="23.25" customHeight="1">
      <c r="A811" s="4" t="str">
        <f>"景丽"</f>
        <v>景丽</v>
      </c>
      <c r="B811" s="4" t="str">
        <f>"5860406013829"</f>
        <v>5860406013829</v>
      </c>
      <c r="C811" s="4" t="str">
        <f t="shared" si="39"/>
        <v>600067</v>
      </c>
      <c r="D811" s="5">
        <v>86</v>
      </c>
    </row>
    <row r="812" spans="1:4" s="7" customFormat="1" ht="23.25" customHeight="1">
      <c r="A812" s="4" t="str">
        <f>"黄昌彬"</f>
        <v>黄昌彬</v>
      </c>
      <c r="B812" s="4" t="str">
        <f>"5860406013803"</f>
        <v>5860406013803</v>
      </c>
      <c r="C812" s="4" t="str">
        <f t="shared" si="39"/>
        <v>600067</v>
      </c>
      <c r="D812" s="5">
        <v>83.67</v>
      </c>
    </row>
    <row r="813" spans="1:4" s="7" customFormat="1" ht="23.25" customHeight="1">
      <c r="A813" s="4" t="str">
        <f>"甘霖"</f>
        <v>甘霖</v>
      </c>
      <c r="B813" s="4" t="str">
        <f>"5860406013904"</f>
        <v>5860406013904</v>
      </c>
      <c r="C813" s="4" t="str">
        <f t="shared" si="39"/>
        <v>600067</v>
      </c>
      <c r="D813" s="5">
        <v>84.67</v>
      </c>
    </row>
    <row r="814" spans="1:4" s="7" customFormat="1" ht="23.25" customHeight="1">
      <c r="A814" s="4" t="str">
        <f>"何婕"</f>
        <v>何婕</v>
      </c>
      <c r="B814" s="4" t="str">
        <f>"5860406013808"</f>
        <v>5860406013808</v>
      </c>
      <c r="C814" s="4" t="str">
        <f t="shared" si="39"/>
        <v>600067</v>
      </c>
      <c r="D814" s="5">
        <v>86.67</v>
      </c>
    </row>
    <row r="815" spans="1:4" s="7" customFormat="1" ht="23.25" customHeight="1">
      <c r="A815" s="4" t="str">
        <f>"李佳"</f>
        <v>李佳</v>
      </c>
      <c r="B815" s="4" t="str">
        <f>"5860406013903"</f>
        <v>5860406013903</v>
      </c>
      <c r="C815" s="4" t="str">
        <f t="shared" si="39"/>
        <v>600067</v>
      </c>
      <c r="D815" s="5">
        <v>83.67</v>
      </c>
    </row>
    <row r="816" spans="1:4" s="7" customFormat="1" ht="23.25" customHeight="1">
      <c r="A816" s="4" t="str">
        <f>"蒋美娟"</f>
        <v>蒋美娟</v>
      </c>
      <c r="B816" s="4" t="str">
        <f>"5860406013828"</f>
        <v>5860406013828</v>
      </c>
      <c r="C816" s="4" t="str">
        <f t="shared" si="39"/>
        <v>600067</v>
      </c>
      <c r="D816" s="5">
        <v>81.33</v>
      </c>
    </row>
    <row r="817" spans="1:4" s="7" customFormat="1" ht="23.25" customHeight="1">
      <c r="A817" s="4" t="str">
        <f>"邓小茜"</f>
        <v>邓小茜</v>
      </c>
      <c r="B817" s="4" t="str">
        <f>"5860406013911"</f>
        <v>5860406013911</v>
      </c>
      <c r="C817" s="4" t="str">
        <f t="shared" si="39"/>
        <v>600067</v>
      </c>
      <c r="D817" s="5">
        <v>83</v>
      </c>
    </row>
    <row r="818" spans="1:4" s="7" customFormat="1" ht="23.25" customHeight="1">
      <c r="A818" s="4" t="str">
        <f>"何芝聪"</f>
        <v>何芝聪</v>
      </c>
      <c r="B818" s="4" t="str">
        <f>"5860406013810"</f>
        <v>5860406013810</v>
      </c>
      <c r="C818" s="4" t="str">
        <f t="shared" si="39"/>
        <v>600067</v>
      </c>
      <c r="D818" s="5">
        <v>84.67</v>
      </c>
    </row>
    <row r="819" spans="1:4" s="7" customFormat="1" ht="23.25" customHeight="1">
      <c r="A819" s="4" t="str">
        <f>"刘春阳"</f>
        <v>刘春阳</v>
      </c>
      <c r="B819" s="4" t="str">
        <f>"5860406013801"</f>
        <v>5860406013801</v>
      </c>
      <c r="C819" s="4" t="str">
        <f t="shared" si="39"/>
        <v>600067</v>
      </c>
      <c r="D819" s="5" t="s">
        <v>36</v>
      </c>
    </row>
    <row r="820" spans="1:4" s="7" customFormat="1" ht="23.25" customHeight="1">
      <c r="A820" s="4" t="str">
        <f>"周毅"</f>
        <v>周毅</v>
      </c>
      <c r="B820" s="4" t="str">
        <f>"5860406013818"</f>
        <v>5860406013818</v>
      </c>
      <c r="C820" s="4" t="str">
        <f t="shared" si="39"/>
        <v>600067</v>
      </c>
      <c r="D820" s="5">
        <v>80.33</v>
      </c>
    </row>
    <row r="821" spans="1:4" s="7" customFormat="1" ht="23.25" customHeight="1">
      <c r="A821" s="4" t="str">
        <f>"严加洪"</f>
        <v>严加洪</v>
      </c>
      <c r="B821" s="4" t="str">
        <f>"5860406013820"</f>
        <v>5860406013820</v>
      </c>
      <c r="C821" s="4" t="str">
        <f t="shared" si="39"/>
        <v>600067</v>
      </c>
      <c r="D821" s="5">
        <v>80.33</v>
      </c>
    </row>
    <row r="822" spans="1:4" s="7" customFormat="1" ht="23.25" customHeight="1">
      <c r="A822" s="4" t="str">
        <f>"张小芳"</f>
        <v>张小芳</v>
      </c>
      <c r="B822" s="4" t="str">
        <f>"5860406013905"</f>
        <v>5860406013905</v>
      </c>
      <c r="C822" s="4" t="str">
        <f t="shared" si="39"/>
        <v>600067</v>
      </c>
      <c r="D822" s="5">
        <v>83.67</v>
      </c>
    </row>
    <row r="823" spans="1:4" s="7" customFormat="1" ht="23.25" customHeight="1">
      <c r="A823" s="4" t="str">
        <f>"袁雪莲"</f>
        <v>袁雪莲</v>
      </c>
      <c r="B823" s="4" t="str">
        <f>"5860406013826"</f>
        <v>5860406013826</v>
      </c>
      <c r="C823" s="4" t="str">
        <f t="shared" si="39"/>
        <v>600067</v>
      </c>
      <c r="D823" s="5">
        <v>87.33</v>
      </c>
    </row>
    <row r="824" spans="1:4" s="7" customFormat="1" ht="23.25" customHeight="1">
      <c r="A824" s="4" t="str">
        <f>"粟松柏"</f>
        <v>粟松柏</v>
      </c>
      <c r="B824" s="4" t="str">
        <f>"5860406013908"</f>
        <v>5860406013908</v>
      </c>
      <c r="C824" s="4" t="str">
        <f t="shared" si="39"/>
        <v>600067</v>
      </c>
      <c r="D824" s="5">
        <v>80</v>
      </c>
    </row>
    <row r="825" spans="1:4" s="7" customFormat="1" ht="23.25" customHeight="1">
      <c r="A825" s="4" t="str">
        <f>"凌嬉嬉"</f>
        <v>凌嬉嬉</v>
      </c>
      <c r="B825" s="4" t="str">
        <f>"5860406013813"</f>
        <v>5860406013813</v>
      </c>
      <c r="C825" s="4" t="str">
        <f t="shared" si="39"/>
        <v>600067</v>
      </c>
      <c r="D825" s="5">
        <v>83.67</v>
      </c>
    </row>
    <row r="826" spans="1:4" s="7" customFormat="1" ht="23.25" customHeight="1">
      <c r="A826" s="4" t="str">
        <f>"唐莉"</f>
        <v>唐莉</v>
      </c>
      <c r="B826" s="4" t="str">
        <f>"5860406013827"</f>
        <v>5860406013827</v>
      </c>
      <c r="C826" s="4" t="str">
        <f t="shared" si="39"/>
        <v>600067</v>
      </c>
      <c r="D826" s="5">
        <v>83.67</v>
      </c>
    </row>
    <row r="827" spans="1:4" s="7" customFormat="1" ht="23.25" customHeight="1">
      <c r="A827" s="4" t="str">
        <f>"刘金枝"</f>
        <v>刘金枝</v>
      </c>
      <c r="B827" s="4" t="str">
        <f>"5860406013815"</f>
        <v>5860406013815</v>
      </c>
      <c r="C827" s="4" t="str">
        <f t="shared" si="39"/>
        <v>600067</v>
      </c>
      <c r="D827" s="5">
        <v>81.67</v>
      </c>
    </row>
    <row r="828" spans="1:4" s="7" customFormat="1" ht="23.25" customHeight="1">
      <c r="A828" s="4" t="str">
        <f>"陈婷"</f>
        <v>陈婷</v>
      </c>
      <c r="B828" s="4" t="str">
        <f>"5860406013910"</f>
        <v>5860406013910</v>
      </c>
      <c r="C828" s="4" t="str">
        <f t="shared" si="39"/>
        <v>600067</v>
      </c>
      <c r="D828" s="5">
        <v>84.33</v>
      </c>
    </row>
    <row r="829" spans="1:4" s="7" customFormat="1" ht="23.25" customHeight="1">
      <c r="A829" s="4" t="str">
        <f>"杨莉"</f>
        <v>杨莉</v>
      </c>
      <c r="B829" s="4" t="str">
        <f>"5860406013912"</f>
        <v>5860406013912</v>
      </c>
      <c r="C829" s="4" t="str">
        <f t="shared" si="39"/>
        <v>600067</v>
      </c>
      <c r="D829" s="5">
        <v>81.67</v>
      </c>
    </row>
    <row r="830" spans="1:4" s="7" customFormat="1" ht="23.25" customHeight="1">
      <c r="A830" s="4" t="str">
        <f>"王雯霞"</f>
        <v>王雯霞</v>
      </c>
      <c r="B830" s="4" t="str">
        <f>"5860406013902"</f>
        <v>5860406013902</v>
      </c>
      <c r="C830" s="4" t="str">
        <f t="shared" si="39"/>
        <v>600067</v>
      </c>
      <c r="D830" s="5">
        <v>75.67</v>
      </c>
    </row>
    <row r="831" spans="1:4" s="7" customFormat="1" ht="23.25" customHeight="1">
      <c r="A831" s="4" t="str">
        <f>"刘玉霞"</f>
        <v>刘玉霞</v>
      </c>
      <c r="B831" s="4" t="str">
        <f>"5860406013906"</f>
        <v>5860406013906</v>
      </c>
      <c r="C831" s="4" t="str">
        <f t="shared" si="39"/>
        <v>600067</v>
      </c>
      <c r="D831" s="5">
        <v>83.33</v>
      </c>
    </row>
    <row r="832" spans="1:4" s="7" customFormat="1" ht="23.25" customHeight="1">
      <c r="A832" s="4" t="str">
        <f>"任洋欣"</f>
        <v>任洋欣</v>
      </c>
      <c r="B832" s="4" t="str">
        <f>"5860406013812"</f>
        <v>5860406013812</v>
      </c>
      <c r="C832" s="4" t="str">
        <f t="shared" si="39"/>
        <v>600067</v>
      </c>
      <c r="D832" s="5">
        <v>79</v>
      </c>
    </row>
    <row r="833" spans="1:4" s="7" customFormat="1" ht="23.25" customHeight="1">
      <c r="A833" s="4" t="str">
        <f>"王柳"</f>
        <v>王柳</v>
      </c>
      <c r="B833" s="4" t="str">
        <f>"5860406013806"</f>
        <v>5860406013806</v>
      </c>
      <c r="C833" s="4" t="str">
        <f t="shared" si="39"/>
        <v>600067</v>
      </c>
      <c r="D833" s="5">
        <v>80</v>
      </c>
    </row>
    <row r="834" spans="1:4" s="7" customFormat="1" ht="23.25" customHeight="1">
      <c r="A834" s="4" t="str">
        <f>"潘美霖"</f>
        <v>潘美霖</v>
      </c>
      <c r="B834" s="4" t="str">
        <f>"5860406013816"</f>
        <v>5860406013816</v>
      </c>
      <c r="C834" s="4" t="str">
        <f t="shared" si="39"/>
        <v>600067</v>
      </c>
      <c r="D834" s="5">
        <v>84.33</v>
      </c>
    </row>
    <row r="835" spans="1:4" s="7" customFormat="1" ht="23.25" customHeight="1">
      <c r="A835" s="4" t="str">
        <f>"赵丽华"</f>
        <v>赵丽华</v>
      </c>
      <c r="B835" s="4" t="str">
        <f>"5860406013811"</f>
        <v>5860406013811</v>
      </c>
      <c r="C835" s="4" t="str">
        <f t="shared" si="39"/>
        <v>600067</v>
      </c>
      <c r="D835" s="5">
        <v>81.33</v>
      </c>
    </row>
    <row r="836" spans="1:4" s="7" customFormat="1" ht="23.25" customHeight="1">
      <c r="A836" s="4" t="str">
        <f>"李鸿"</f>
        <v>李鸿</v>
      </c>
      <c r="B836" s="4" t="str">
        <f>"5860406013814"</f>
        <v>5860406013814</v>
      </c>
      <c r="C836" s="4" t="str">
        <f t="shared" si="39"/>
        <v>600067</v>
      </c>
      <c r="D836" s="5">
        <v>81.67</v>
      </c>
    </row>
    <row r="837" spans="1:4" s="7" customFormat="1" ht="23.25" customHeight="1">
      <c r="A837" s="4" t="str">
        <f>"王娟"</f>
        <v>王娟</v>
      </c>
      <c r="B837" s="4" t="str">
        <f>"5860406014021"</f>
        <v>5860406014021</v>
      </c>
      <c r="C837" s="4" t="str">
        <f aca="true" t="shared" si="40" ref="C837:C867">"600068"</f>
        <v>600068</v>
      </c>
      <c r="D837" s="5">
        <v>89</v>
      </c>
    </row>
    <row r="838" spans="1:4" s="7" customFormat="1" ht="23.25" customHeight="1">
      <c r="A838" s="4" t="str">
        <f>"曹玉婷"</f>
        <v>曹玉婷</v>
      </c>
      <c r="B838" s="4" t="str">
        <f>"5860406014028"</f>
        <v>5860406014028</v>
      </c>
      <c r="C838" s="4" t="str">
        <f t="shared" si="40"/>
        <v>600068</v>
      </c>
      <c r="D838" s="5">
        <v>83</v>
      </c>
    </row>
    <row r="839" spans="1:4" s="7" customFormat="1" ht="23.25" customHeight="1">
      <c r="A839" s="4" t="str">
        <f>"李艳"</f>
        <v>李艳</v>
      </c>
      <c r="B839" s="4" t="str">
        <f>"5860406013917"</f>
        <v>5860406013917</v>
      </c>
      <c r="C839" s="4" t="str">
        <f t="shared" si="40"/>
        <v>600068</v>
      </c>
      <c r="D839" s="5">
        <v>81</v>
      </c>
    </row>
    <row r="840" spans="1:4" s="7" customFormat="1" ht="23.25" customHeight="1">
      <c r="A840" s="4" t="str">
        <f>"刘禄芳"</f>
        <v>刘禄芳</v>
      </c>
      <c r="B840" s="4" t="str">
        <f>"5860406014101"</f>
        <v>5860406014101</v>
      </c>
      <c r="C840" s="4" t="str">
        <f t="shared" si="40"/>
        <v>600068</v>
      </c>
      <c r="D840" s="5">
        <v>82</v>
      </c>
    </row>
    <row r="841" spans="1:4" s="7" customFormat="1" ht="23.25" customHeight="1">
      <c r="A841" s="4" t="str">
        <f>"魏朝玲"</f>
        <v>魏朝玲</v>
      </c>
      <c r="B841" s="4" t="str">
        <f>"5860406014001"</f>
        <v>5860406014001</v>
      </c>
      <c r="C841" s="4" t="str">
        <f t="shared" si="40"/>
        <v>600068</v>
      </c>
      <c r="D841" s="5">
        <v>84.33</v>
      </c>
    </row>
    <row r="842" spans="1:4" s="7" customFormat="1" ht="23.25" customHeight="1">
      <c r="A842" s="4" t="str">
        <f>"王文强"</f>
        <v>王文强</v>
      </c>
      <c r="B842" s="4" t="str">
        <f>"5860406013914"</f>
        <v>5860406013914</v>
      </c>
      <c r="C842" s="4" t="str">
        <f t="shared" si="40"/>
        <v>600068</v>
      </c>
      <c r="D842" s="5">
        <v>83.67</v>
      </c>
    </row>
    <row r="843" spans="1:4" s="7" customFormat="1" ht="23.25" customHeight="1">
      <c r="A843" s="4" t="str">
        <f>"刘坤燕"</f>
        <v>刘坤燕</v>
      </c>
      <c r="B843" s="4" t="str">
        <f>"5860406014002"</f>
        <v>5860406014002</v>
      </c>
      <c r="C843" s="4" t="str">
        <f t="shared" si="40"/>
        <v>600068</v>
      </c>
      <c r="D843" s="5">
        <v>80.67</v>
      </c>
    </row>
    <row r="844" spans="1:4" s="7" customFormat="1" ht="23.25" customHeight="1">
      <c r="A844" s="4" t="str">
        <f>"李琼"</f>
        <v>李琼</v>
      </c>
      <c r="B844" s="4" t="str">
        <f>"5860406014016"</f>
        <v>5860406014016</v>
      </c>
      <c r="C844" s="4" t="str">
        <f t="shared" si="40"/>
        <v>600068</v>
      </c>
      <c r="D844" s="5">
        <v>83</v>
      </c>
    </row>
    <row r="845" spans="1:4" s="7" customFormat="1" ht="23.25" customHeight="1">
      <c r="A845" s="4" t="str">
        <f>"林秋"</f>
        <v>林秋</v>
      </c>
      <c r="B845" s="4" t="str">
        <f>"5860406014017"</f>
        <v>5860406014017</v>
      </c>
      <c r="C845" s="4" t="str">
        <f t="shared" si="40"/>
        <v>600068</v>
      </c>
      <c r="D845" s="5">
        <v>83.33</v>
      </c>
    </row>
    <row r="846" spans="1:4" s="7" customFormat="1" ht="23.25" customHeight="1">
      <c r="A846" s="4" t="str">
        <f>"肖裕鑫"</f>
        <v>肖裕鑫</v>
      </c>
      <c r="B846" s="4" t="str">
        <f>"5860406014018"</f>
        <v>5860406014018</v>
      </c>
      <c r="C846" s="4" t="str">
        <f t="shared" si="40"/>
        <v>600068</v>
      </c>
      <c r="D846" s="5">
        <v>87</v>
      </c>
    </row>
    <row r="847" spans="1:4" s="7" customFormat="1" ht="23.25" customHeight="1">
      <c r="A847" s="4" t="str">
        <f>"雷雪梅"</f>
        <v>雷雪梅</v>
      </c>
      <c r="B847" s="4" t="str">
        <f>"5860406013915"</f>
        <v>5860406013915</v>
      </c>
      <c r="C847" s="4" t="str">
        <f t="shared" si="40"/>
        <v>600068</v>
      </c>
      <c r="D847" s="5">
        <v>82.33</v>
      </c>
    </row>
    <row r="848" spans="1:4" s="7" customFormat="1" ht="23.25" customHeight="1">
      <c r="A848" s="4" t="str">
        <f>"曾丽华"</f>
        <v>曾丽华</v>
      </c>
      <c r="B848" s="4" t="str">
        <f>"5860406014015"</f>
        <v>5860406014015</v>
      </c>
      <c r="C848" s="4" t="str">
        <f t="shared" si="40"/>
        <v>600068</v>
      </c>
      <c r="D848" s="5">
        <v>83</v>
      </c>
    </row>
    <row r="849" spans="1:4" s="7" customFormat="1" ht="23.25" customHeight="1">
      <c r="A849" s="4" t="str">
        <f>"贺东阁"</f>
        <v>贺东阁</v>
      </c>
      <c r="B849" s="4" t="str">
        <f>"5860406014019"</f>
        <v>5860406014019</v>
      </c>
      <c r="C849" s="4" t="str">
        <f t="shared" si="40"/>
        <v>600068</v>
      </c>
      <c r="D849" s="5">
        <v>80.67</v>
      </c>
    </row>
    <row r="850" spans="1:4" s="7" customFormat="1" ht="23.25" customHeight="1">
      <c r="A850" s="4" t="str">
        <f>"邓清清"</f>
        <v>邓清清</v>
      </c>
      <c r="B850" s="4" t="str">
        <f>"5860406013926"</f>
        <v>5860406013926</v>
      </c>
      <c r="C850" s="4" t="str">
        <f t="shared" si="40"/>
        <v>600068</v>
      </c>
      <c r="D850" s="5">
        <v>79.67</v>
      </c>
    </row>
    <row r="851" spans="1:4" s="7" customFormat="1" ht="23.25" customHeight="1">
      <c r="A851" s="4" t="str">
        <f>"吴寒"</f>
        <v>吴寒</v>
      </c>
      <c r="B851" s="4" t="str">
        <f>"5860406013929"</f>
        <v>5860406013929</v>
      </c>
      <c r="C851" s="4" t="str">
        <f t="shared" si="40"/>
        <v>600068</v>
      </c>
      <c r="D851" s="5">
        <v>83.67</v>
      </c>
    </row>
    <row r="852" spans="1:4" s="7" customFormat="1" ht="23.25" customHeight="1">
      <c r="A852" s="4" t="str">
        <f>"刘欢"</f>
        <v>刘欢</v>
      </c>
      <c r="B852" s="4" t="str">
        <f>"5860406014013"</f>
        <v>5860406014013</v>
      </c>
      <c r="C852" s="4" t="str">
        <f t="shared" si="40"/>
        <v>600068</v>
      </c>
      <c r="D852" s="5">
        <v>86</v>
      </c>
    </row>
    <row r="853" spans="1:4" s="7" customFormat="1" ht="23.25" customHeight="1">
      <c r="A853" s="4" t="str">
        <f>"许景娟"</f>
        <v>许景娟</v>
      </c>
      <c r="B853" s="4" t="str">
        <f>"5860406013923"</f>
        <v>5860406013923</v>
      </c>
      <c r="C853" s="4" t="str">
        <f t="shared" si="40"/>
        <v>600068</v>
      </c>
      <c r="D853" s="5">
        <v>83</v>
      </c>
    </row>
    <row r="854" spans="1:4" s="7" customFormat="1" ht="23.25" customHeight="1">
      <c r="A854" s="4" t="str">
        <f>"邹泓"</f>
        <v>邹泓</v>
      </c>
      <c r="B854" s="4" t="str">
        <f>"5860406013913"</f>
        <v>5860406013913</v>
      </c>
      <c r="C854" s="4" t="str">
        <f t="shared" si="40"/>
        <v>600068</v>
      </c>
      <c r="D854" s="5">
        <v>85.33</v>
      </c>
    </row>
    <row r="855" spans="1:4" s="7" customFormat="1" ht="23.25" customHeight="1">
      <c r="A855" s="4" t="str">
        <f>"邓青燕"</f>
        <v>邓青燕</v>
      </c>
      <c r="B855" s="4" t="str">
        <f>"5860406013930"</f>
        <v>5860406013930</v>
      </c>
      <c r="C855" s="4" t="str">
        <f t="shared" si="40"/>
        <v>600068</v>
      </c>
      <c r="D855" s="5">
        <v>83.67</v>
      </c>
    </row>
    <row r="856" spans="1:4" s="7" customFormat="1" ht="23.25" customHeight="1">
      <c r="A856" s="4" t="str">
        <f>"肖裕莉"</f>
        <v>肖裕莉</v>
      </c>
      <c r="B856" s="4" t="str">
        <f>"5860406014023"</f>
        <v>5860406014023</v>
      </c>
      <c r="C856" s="4" t="str">
        <f t="shared" si="40"/>
        <v>600068</v>
      </c>
      <c r="D856" s="5">
        <v>83.33</v>
      </c>
    </row>
    <row r="857" spans="1:4" s="7" customFormat="1" ht="23.25" customHeight="1">
      <c r="A857" s="4" t="str">
        <f>"肖茂云"</f>
        <v>肖茂云</v>
      </c>
      <c r="B857" s="4" t="str">
        <f>"5860406013927"</f>
        <v>5860406013927</v>
      </c>
      <c r="C857" s="4" t="str">
        <f t="shared" si="40"/>
        <v>600068</v>
      </c>
      <c r="D857" s="5">
        <v>83</v>
      </c>
    </row>
    <row r="858" spans="1:4" s="7" customFormat="1" ht="23.25" customHeight="1">
      <c r="A858" s="4" t="str">
        <f>"杜思雨"</f>
        <v>杜思雨</v>
      </c>
      <c r="B858" s="4" t="str">
        <f>"5860406014008"</f>
        <v>5860406014008</v>
      </c>
      <c r="C858" s="4" t="str">
        <f t="shared" si="40"/>
        <v>600068</v>
      </c>
      <c r="D858" s="5">
        <v>81.33</v>
      </c>
    </row>
    <row r="859" spans="1:4" s="7" customFormat="1" ht="23.25" customHeight="1">
      <c r="A859" s="4" t="str">
        <f>"谭乔芳"</f>
        <v>谭乔芳</v>
      </c>
      <c r="B859" s="4" t="str">
        <f>"5860406014029"</f>
        <v>5860406014029</v>
      </c>
      <c r="C859" s="4" t="str">
        <f t="shared" si="40"/>
        <v>600068</v>
      </c>
      <c r="D859" s="5">
        <v>84</v>
      </c>
    </row>
    <row r="860" spans="1:4" s="7" customFormat="1" ht="23.25" customHeight="1">
      <c r="A860" s="4" t="str">
        <f>"陈立"</f>
        <v>陈立</v>
      </c>
      <c r="B860" s="4" t="str">
        <f>"5860406014012"</f>
        <v>5860406014012</v>
      </c>
      <c r="C860" s="4" t="str">
        <f t="shared" si="40"/>
        <v>600068</v>
      </c>
      <c r="D860" s="5">
        <v>85.33</v>
      </c>
    </row>
    <row r="861" spans="1:4" s="7" customFormat="1" ht="23.25" customHeight="1">
      <c r="A861" s="4" t="str">
        <f>"谢敏"</f>
        <v>谢敏</v>
      </c>
      <c r="B861" s="4" t="str">
        <f>"5860406013919"</f>
        <v>5860406013919</v>
      </c>
      <c r="C861" s="4" t="str">
        <f t="shared" si="40"/>
        <v>600068</v>
      </c>
      <c r="D861" s="5">
        <v>76.67</v>
      </c>
    </row>
    <row r="862" spans="1:4" s="7" customFormat="1" ht="23.25" customHeight="1">
      <c r="A862" s="4" t="str">
        <f>"郭楠"</f>
        <v>郭楠</v>
      </c>
      <c r="B862" s="4" t="str">
        <f>"5860406013925"</f>
        <v>5860406013925</v>
      </c>
      <c r="C862" s="4" t="str">
        <f t="shared" si="40"/>
        <v>600068</v>
      </c>
      <c r="D862" s="5">
        <v>82.67</v>
      </c>
    </row>
    <row r="863" spans="1:4" s="7" customFormat="1" ht="23.25" customHeight="1">
      <c r="A863" s="4" t="str">
        <f>"姚德雪"</f>
        <v>姚德雪</v>
      </c>
      <c r="B863" s="4" t="str">
        <f>"5860406014024"</f>
        <v>5860406014024</v>
      </c>
      <c r="C863" s="4" t="str">
        <f t="shared" si="40"/>
        <v>600068</v>
      </c>
      <c r="D863" s="5">
        <v>80.67</v>
      </c>
    </row>
    <row r="864" spans="1:4" s="7" customFormat="1" ht="23.25" customHeight="1">
      <c r="A864" s="4" t="str">
        <f>"童多欢"</f>
        <v>童多欢</v>
      </c>
      <c r="B864" s="4" t="str">
        <f>"5860406014025"</f>
        <v>5860406014025</v>
      </c>
      <c r="C864" s="4" t="str">
        <f t="shared" si="40"/>
        <v>600068</v>
      </c>
      <c r="D864" s="5">
        <v>82.67</v>
      </c>
    </row>
    <row r="865" spans="1:4" s="7" customFormat="1" ht="23.25" customHeight="1">
      <c r="A865" s="4" t="str">
        <f>"唐艳华"</f>
        <v>唐艳华</v>
      </c>
      <c r="B865" s="4" t="str">
        <f>"5860406014005"</f>
        <v>5860406014005</v>
      </c>
      <c r="C865" s="4" t="str">
        <f t="shared" si="40"/>
        <v>600068</v>
      </c>
      <c r="D865" s="5">
        <v>86</v>
      </c>
    </row>
    <row r="866" spans="1:4" s="7" customFormat="1" ht="23.25" customHeight="1">
      <c r="A866" s="4" t="str">
        <f>"雷桂英"</f>
        <v>雷桂英</v>
      </c>
      <c r="B866" s="4" t="str">
        <f>"5860406014011"</f>
        <v>5860406014011</v>
      </c>
      <c r="C866" s="4" t="str">
        <f t="shared" si="40"/>
        <v>600068</v>
      </c>
      <c r="D866" s="5">
        <v>82.67</v>
      </c>
    </row>
    <row r="867" spans="1:4" s="7" customFormat="1" ht="23.25" customHeight="1">
      <c r="A867" s="4" t="str">
        <f>"徐鹏"</f>
        <v>徐鹏</v>
      </c>
      <c r="B867" s="4" t="str">
        <f>"5860406014020"</f>
        <v>5860406014020</v>
      </c>
      <c r="C867" s="4" t="str">
        <f t="shared" si="40"/>
        <v>600068</v>
      </c>
      <c r="D867" s="5" t="s">
        <v>36</v>
      </c>
    </row>
    <row r="868" spans="1:4" s="7" customFormat="1" ht="23.25" customHeight="1">
      <c r="A868" s="4" t="str">
        <f>"袁春飞"</f>
        <v>袁春飞</v>
      </c>
      <c r="B868" s="4" t="str">
        <f>"5860406014109"</f>
        <v>5860406014109</v>
      </c>
      <c r="C868" s="4" t="str">
        <f aca="true" t="shared" si="41" ref="C868:C907">"600069"</f>
        <v>600069</v>
      </c>
      <c r="D868" s="5">
        <v>79</v>
      </c>
    </row>
    <row r="869" spans="1:4" s="7" customFormat="1" ht="23.25" customHeight="1">
      <c r="A869" s="4" t="str">
        <f>"林存娅"</f>
        <v>林存娅</v>
      </c>
      <c r="B869" s="4" t="str">
        <f>"5860406014128"</f>
        <v>5860406014128</v>
      </c>
      <c r="C869" s="4" t="str">
        <f t="shared" si="41"/>
        <v>600069</v>
      </c>
      <c r="D869" s="5">
        <v>77.66</v>
      </c>
    </row>
    <row r="870" spans="1:4" s="7" customFormat="1" ht="23.25" customHeight="1">
      <c r="A870" s="4" t="str">
        <f>"谭慧慧"</f>
        <v>谭慧慧</v>
      </c>
      <c r="B870" s="4" t="str">
        <f>"5860406014106"</f>
        <v>5860406014106</v>
      </c>
      <c r="C870" s="4" t="str">
        <f t="shared" si="41"/>
        <v>600069</v>
      </c>
      <c r="D870" s="5">
        <v>65.66</v>
      </c>
    </row>
    <row r="871" spans="1:4" s="7" customFormat="1" ht="23.25" customHeight="1">
      <c r="A871" s="4" t="str">
        <f>"王春芳"</f>
        <v>王春芳</v>
      </c>
      <c r="B871" s="4" t="str">
        <f>"5860406014207"</f>
        <v>5860406014207</v>
      </c>
      <c r="C871" s="4" t="str">
        <f t="shared" si="41"/>
        <v>600069</v>
      </c>
      <c r="D871" s="5">
        <v>83</v>
      </c>
    </row>
    <row r="872" spans="1:4" s="7" customFormat="1" ht="23.25" customHeight="1">
      <c r="A872" s="4" t="str">
        <f>"刘素君"</f>
        <v>刘素君</v>
      </c>
      <c r="B872" s="4" t="str">
        <f>"5860406014117"</f>
        <v>5860406014117</v>
      </c>
      <c r="C872" s="4" t="str">
        <f t="shared" si="41"/>
        <v>600069</v>
      </c>
      <c r="D872" s="5">
        <v>73</v>
      </c>
    </row>
    <row r="873" spans="1:4" s="7" customFormat="1" ht="23.25" customHeight="1">
      <c r="A873" s="4" t="str">
        <f>"蒋密密"</f>
        <v>蒋密密</v>
      </c>
      <c r="B873" s="4" t="str">
        <f>"5860406014105"</f>
        <v>5860406014105</v>
      </c>
      <c r="C873" s="4" t="str">
        <f t="shared" si="41"/>
        <v>600069</v>
      </c>
      <c r="D873" s="5">
        <v>79.66</v>
      </c>
    </row>
    <row r="874" spans="1:4" s="7" customFormat="1" ht="23.25" customHeight="1">
      <c r="A874" s="4" t="str">
        <f>"周优"</f>
        <v>周优</v>
      </c>
      <c r="B874" s="4" t="str">
        <f>"5860406014209"</f>
        <v>5860406014209</v>
      </c>
      <c r="C874" s="4" t="str">
        <f t="shared" si="41"/>
        <v>600069</v>
      </c>
      <c r="D874" s="5" t="s">
        <v>36</v>
      </c>
    </row>
    <row r="875" spans="1:4" s="7" customFormat="1" ht="23.25" customHeight="1">
      <c r="A875" s="4" t="str">
        <f>"赵艳红"</f>
        <v>赵艳红</v>
      </c>
      <c r="B875" s="4" t="str">
        <f>"5860406014102"</f>
        <v>5860406014102</v>
      </c>
      <c r="C875" s="4" t="str">
        <f t="shared" si="41"/>
        <v>600069</v>
      </c>
      <c r="D875" s="5">
        <v>79.66</v>
      </c>
    </row>
    <row r="876" spans="1:4" s="7" customFormat="1" ht="23.25" customHeight="1">
      <c r="A876" s="4" t="str">
        <f>"陈艺丹"</f>
        <v>陈艺丹</v>
      </c>
      <c r="B876" s="4" t="str">
        <f>"5860406014107"</f>
        <v>5860406014107</v>
      </c>
      <c r="C876" s="4" t="str">
        <f t="shared" si="41"/>
        <v>600069</v>
      </c>
      <c r="D876" s="5">
        <v>84.33</v>
      </c>
    </row>
    <row r="877" spans="1:4" s="7" customFormat="1" ht="23.25" customHeight="1">
      <c r="A877" s="4" t="str">
        <f>"谢望"</f>
        <v>谢望</v>
      </c>
      <c r="B877" s="4" t="str">
        <f>"5860406014205"</f>
        <v>5860406014205</v>
      </c>
      <c r="C877" s="4" t="str">
        <f t="shared" si="41"/>
        <v>600069</v>
      </c>
      <c r="D877" s="5">
        <v>83.33</v>
      </c>
    </row>
    <row r="878" spans="1:4" s="7" customFormat="1" ht="23.25" customHeight="1">
      <c r="A878" s="4" t="str">
        <f>"刘洋"</f>
        <v>刘洋</v>
      </c>
      <c r="B878" s="4" t="str">
        <f>"5860406014208"</f>
        <v>5860406014208</v>
      </c>
      <c r="C878" s="4" t="str">
        <f t="shared" si="41"/>
        <v>600069</v>
      </c>
      <c r="D878" s="5">
        <v>76.33</v>
      </c>
    </row>
    <row r="879" spans="1:4" s="7" customFormat="1" ht="23.25" customHeight="1">
      <c r="A879" s="4" t="str">
        <f>"肖琪颖"</f>
        <v>肖琪颖</v>
      </c>
      <c r="B879" s="4" t="str">
        <f>"5860406014303"</f>
        <v>5860406014303</v>
      </c>
      <c r="C879" s="4" t="str">
        <f t="shared" si="41"/>
        <v>600069</v>
      </c>
      <c r="D879" s="5">
        <v>73.66</v>
      </c>
    </row>
    <row r="880" spans="1:4" s="7" customFormat="1" ht="23.25" customHeight="1">
      <c r="A880" s="4" t="str">
        <f>"包安然"</f>
        <v>包安然</v>
      </c>
      <c r="B880" s="4" t="str">
        <f>"5860406014126"</f>
        <v>5860406014126</v>
      </c>
      <c r="C880" s="4" t="str">
        <f t="shared" si="41"/>
        <v>600069</v>
      </c>
      <c r="D880" s="5">
        <v>81</v>
      </c>
    </row>
    <row r="881" spans="1:4" s="7" customFormat="1" ht="23.25" customHeight="1">
      <c r="A881" s="4" t="str">
        <f>"彭祖娟"</f>
        <v>彭祖娟</v>
      </c>
      <c r="B881" s="4" t="str">
        <f>"5860406014305"</f>
        <v>5860406014305</v>
      </c>
      <c r="C881" s="4" t="str">
        <f t="shared" si="41"/>
        <v>600069</v>
      </c>
      <c r="D881" s="5">
        <v>71</v>
      </c>
    </row>
    <row r="882" spans="1:4" s="7" customFormat="1" ht="23.25" customHeight="1">
      <c r="A882" s="4" t="str">
        <f>"汪小榆"</f>
        <v>汪小榆</v>
      </c>
      <c r="B882" s="4" t="str">
        <f>"5860406014118"</f>
        <v>5860406014118</v>
      </c>
      <c r="C882" s="4" t="str">
        <f t="shared" si="41"/>
        <v>600069</v>
      </c>
      <c r="D882" s="5">
        <v>86.66</v>
      </c>
    </row>
    <row r="883" spans="1:4" s="7" customFormat="1" ht="23.25" customHeight="1">
      <c r="A883" s="4" t="str">
        <f>"龚其愉"</f>
        <v>龚其愉</v>
      </c>
      <c r="B883" s="4" t="str">
        <f>"5860406014210"</f>
        <v>5860406014210</v>
      </c>
      <c r="C883" s="4" t="str">
        <f t="shared" si="41"/>
        <v>600069</v>
      </c>
      <c r="D883" s="5">
        <v>72.66</v>
      </c>
    </row>
    <row r="884" spans="1:4" s="7" customFormat="1" ht="23.25" customHeight="1">
      <c r="A884" s="4" t="str">
        <f>"陈娉婷"</f>
        <v>陈娉婷</v>
      </c>
      <c r="B884" s="4" t="str">
        <f>"5860406014307"</f>
        <v>5860406014307</v>
      </c>
      <c r="C884" s="4" t="str">
        <f t="shared" si="41"/>
        <v>600069</v>
      </c>
      <c r="D884" s="5">
        <v>83</v>
      </c>
    </row>
    <row r="885" spans="1:4" s="7" customFormat="1" ht="23.25" customHeight="1">
      <c r="A885" s="4" t="str">
        <f>"陈龙芳"</f>
        <v>陈龙芳</v>
      </c>
      <c r="B885" s="4" t="str">
        <f>"5860406014316"</f>
        <v>5860406014316</v>
      </c>
      <c r="C885" s="4" t="str">
        <f t="shared" si="41"/>
        <v>600069</v>
      </c>
      <c r="D885" s="5">
        <v>85.33</v>
      </c>
    </row>
    <row r="886" spans="1:4" s="7" customFormat="1" ht="23.25" customHeight="1">
      <c r="A886" s="4" t="str">
        <f>"冯雪娇"</f>
        <v>冯雪娇</v>
      </c>
      <c r="B886" s="4" t="str">
        <f>"5860406014122"</f>
        <v>5860406014122</v>
      </c>
      <c r="C886" s="4" t="str">
        <f t="shared" si="41"/>
        <v>600069</v>
      </c>
      <c r="D886" s="5">
        <v>81.33</v>
      </c>
    </row>
    <row r="887" spans="1:4" s="7" customFormat="1" ht="23.25" customHeight="1">
      <c r="A887" s="4" t="str">
        <f>"肖燕"</f>
        <v>肖燕</v>
      </c>
      <c r="B887" s="4" t="str">
        <f>"5860406014123"</f>
        <v>5860406014123</v>
      </c>
      <c r="C887" s="4" t="str">
        <f t="shared" si="41"/>
        <v>600069</v>
      </c>
      <c r="D887" s="5">
        <v>82.33</v>
      </c>
    </row>
    <row r="888" spans="1:4" s="7" customFormat="1" ht="23.25" customHeight="1">
      <c r="A888" s="4" t="str">
        <f>"罗杰文"</f>
        <v>罗杰文</v>
      </c>
      <c r="B888" s="4" t="str">
        <f>"5860406014215"</f>
        <v>5860406014215</v>
      </c>
      <c r="C888" s="4" t="str">
        <f t="shared" si="41"/>
        <v>600069</v>
      </c>
      <c r="D888" s="5">
        <v>70.33</v>
      </c>
    </row>
    <row r="889" spans="1:4" s="7" customFormat="1" ht="23.25" customHeight="1">
      <c r="A889" s="4" t="str">
        <f>"刘川鄂"</f>
        <v>刘川鄂</v>
      </c>
      <c r="B889" s="4" t="str">
        <f>"5860406014228"</f>
        <v>5860406014228</v>
      </c>
      <c r="C889" s="4" t="str">
        <f t="shared" si="41"/>
        <v>600069</v>
      </c>
      <c r="D889" s="5">
        <v>85.33</v>
      </c>
    </row>
    <row r="890" spans="1:4" s="7" customFormat="1" ht="23.25" customHeight="1">
      <c r="A890" s="4" t="str">
        <f>"李小芳"</f>
        <v>李小芳</v>
      </c>
      <c r="B890" s="4" t="str">
        <f>"5860406014317"</f>
        <v>5860406014317</v>
      </c>
      <c r="C890" s="4" t="str">
        <f t="shared" si="41"/>
        <v>600069</v>
      </c>
      <c r="D890" s="5">
        <v>77.33</v>
      </c>
    </row>
    <row r="891" spans="1:4" s="7" customFormat="1" ht="23.25" customHeight="1">
      <c r="A891" s="4" t="str">
        <f>"周艳"</f>
        <v>周艳</v>
      </c>
      <c r="B891" s="4" t="str">
        <f>"5860406014103"</f>
        <v>5860406014103</v>
      </c>
      <c r="C891" s="4" t="str">
        <f t="shared" si="41"/>
        <v>600069</v>
      </c>
      <c r="D891" s="5">
        <v>76.66</v>
      </c>
    </row>
    <row r="892" spans="1:4" s="7" customFormat="1" ht="23.25" customHeight="1">
      <c r="A892" s="4" t="str">
        <f>"吕竹"</f>
        <v>吕竹</v>
      </c>
      <c r="B892" s="4" t="str">
        <f>"5860406014202"</f>
        <v>5860406014202</v>
      </c>
      <c r="C892" s="4" t="str">
        <f t="shared" si="41"/>
        <v>600069</v>
      </c>
      <c r="D892" s="5">
        <v>71.33</v>
      </c>
    </row>
    <row r="893" spans="1:4" s="7" customFormat="1" ht="23.25" customHeight="1">
      <c r="A893" s="4" t="str">
        <f>"张国嵘"</f>
        <v>张国嵘</v>
      </c>
      <c r="B893" s="4" t="str">
        <f>"5860406014230"</f>
        <v>5860406014230</v>
      </c>
      <c r="C893" s="4" t="str">
        <f t="shared" si="41"/>
        <v>600069</v>
      </c>
      <c r="D893" s="5">
        <v>74</v>
      </c>
    </row>
    <row r="894" spans="1:4" s="7" customFormat="1" ht="23.25" customHeight="1">
      <c r="A894" s="4" t="str">
        <f>"任雏鸿"</f>
        <v>任雏鸿</v>
      </c>
      <c r="B894" s="4" t="str">
        <f>"5860406014115"</f>
        <v>5860406014115</v>
      </c>
      <c r="C894" s="4" t="str">
        <f t="shared" si="41"/>
        <v>600069</v>
      </c>
      <c r="D894" s="5">
        <v>78</v>
      </c>
    </row>
    <row r="895" spans="1:4" s="7" customFormat="1" ht="23.25" customHeight="1">
      <c r="A895" s="4" t="str">
        <f>"彭琴琴"</f>
        <v>彭琴琴</v>
      </c>
      <c r="B895" s="4" t="str">
        <f>"5860406014127"</f>
        <v>5860406014127</v>
      </c>
      <c r="C895" s="4" t="str">
        <f t="shared" si="41"/>
        <v>600069</v>
      </c>
      <c r="D895" s="5">
        <v>75</v>
      </c>
    </row>
    <row r="896" spans="1:4" s="7" customFormat="1" ht="23.25" customHeight="1">
      <c r="A896" s="4" t="str">
        <f>"牟凤梅"</f>
        <v>牟凤梅</v>
      </c>
      <c r="B896" s="4" t="str">
        <f>"5860406014129"</f>
        <v>5860406014129</v>
      </c>
      <c r="C896" s="4" t="str">
        <f t="shared" si="41"/>
        <v>600069</v>
      </c>
      <c r="D896" s="5">
        <v>76.66</v>
      </c>
    </row>
    <row r="897" spans="1:4" s="7" customFormat="1" ht="23.25" customHeight="1">
      <c r="A897" s="4" t="str">
        <f>"冉从菊"</f>
        <v>冉从菊</v>
      </c>
      <c r="B897" s="4" t="str">
        <f>"5860406014204"</f>
        <v>5860406014204</v>
      </c>
      <c r="C897" s="4" t="str">
        <f t="shared" si="41"/>
        <v>600069</v>
      </c>
      <c r="D897" s="5" t="s">
        <v>36</v>
      </c>
    </row>
    <row r="898" spans="1:4" s="7" customFormat="1" ht="23.25" customHeight="1">
      <c r="A898" s="4" t="str">
        <f>"苟晓梅"</f>
        <v>苟晓梅</v>
      </c>
      <c r="B898" s="4" t="str">
        <f>"5860406014218"</f>
        <v>5860406014218</v>
      </c>
      <c r="C898" s="4" t="str">
        <f t="shared" si="41"/>
        <v>600069</v>
      </c>
      <c r="D898" s="5">
        <v>76</v>
      </c>
    </row>
    <row r="899" spans="1:4" s="7" customFormat="1" ht="23.25" customHeight="1">
      <c r="A899" s="4" t="str">
        <f>"张靖"</f>
        <v>张靖</v>
      </c>
      <c r="B899" s="4" t="str">
        <f>"5860406014108"</f>
        <v>5860406014108</v>
      </c>
      <c r="C899" s="4" t="str">
        <f t="shared" si="41"/>
        <v>600069</v>
      </c>
      <c r="D899" s="5">
        <v>78.66</v>
      </c>
    </row>
    <row r="900" spans="1:4" s="7" customFormat="1" ht="23.25" customHeight="1">
      <c r="A900" s="4" t="str">
        <f>"冉松平"</f>
        <v>冉松平</v>
      </c>
      <c r="B900" s="4" t="str">
        <f>"5860406014119"</f>
        <v>5860406014119</v>
      </c>
      <c r="C900" s="4" t="str">
        <f t="shared" si="41"/>
        <v>600069</v>
      </c>
      <c r="D900" s="5">
        <v>74.33</v>
      </c>
    </row>
    <row r="901" spans="1:4" s="7" customFormat="1" ht="23.25" customHeight="1">
      <c r="A901" s="4" t="str">
        <f>"李园园"</f>
        <v>李园园</v>
      </c>
      <c r="B901" s="4" t="str">
        <f>"5860406014120"</f>
        <v>5860406014120</v>
      </c>
      <c r="C901" s="4" t="str">
        <f t="shared" si="41"/>
        <v>600069</v>
      </c>
      <c r="D901" s="5">
        <v>73.33</v>
      </c>
    </row>
    <row r="902" spans="1:4" s="7" customFormat="1" ht="23.25" customHeight="1">
      <c r="A902" s="4" t="str">
        <f>"朱娟"</f>
        <v>朱娟</v>
      </c>
      <c r="B902" s="4" t="str">
        <f>"5860406014221"</f>
        <v>5860406014221</v>
      </c>
      <c r="C902" s="4" t="str">
        <f t="shared" si="41"/>
        <v>600069</v>
      </c>
      <c r="D902" s="5">
        <v>81.33</v>
      </c>
    </row>
    <row r="903" spans="1:4" s="7" customFormat="1" ht="23.25" customHeight="1">
      <c r="A903" s="4" t="str">
        <f>"曾玉梅"</f>
        <v>曾玉梅</v>
      </c>
      <c r="B903" s="4" t="str">
        <f>"5860406014319"</f>
        <v>5860406014319</v>
      </c>
      <c r="C903" s="4" t="str">
        <f t="shared" si="41"/>
        <v>600069</v>
      </c>
      <c r="D903" s="5" t="s">
        <v>36</v>
      </c>
    </row>
    <row r="904" spans="1:4" s="7" customFormat="1" ht="23.25" customHeight="1">
      <c r="A904" s="4" t="str">
        <f>"何朋"</f>
        <v>何朋</v>
      </c>
      <c r="B904" s="4" t="str">
        <f>"5860406014130"</f>
        <v>5860406014130</v>
      </c>
      <c r="C904" s="4" t="str">
        <f t="shared" si="41"/>
        <v>600069</v>
      </c>
      <c r="D904" s="5" t="s">
        <v>36</v>
      </c>
    </row>
    <row r="905" spans="1:4" s="7" customFormat="1" ht="23.25" customHeight="1">
      <c r="A905" s="4" t="str">
        <f>"黄晶"</f>
        <v>黄晶</v>
      </c>
      <c r="B905" s="4" t="str">
        <f>"5860406014213"</f>
        <v>5860406014213</v>
      </c>
      <c r="C905" s="4" t="str">
        <f t="shared" si="41"/>
        <v>600069</v>
      </c>
      <c r="D905" s="5">
        <v>77.33</v>
      </c>
    </row>
    <row r="906" spans="1:4" s="7" customFormat="1" ht="23.25" customHeight="1">
      <c r="A906" s="4" t="str">
        <f>"杨鑫"</f>
        <v>杨鑫</v>
      </c>
      <c r="B906" s="4" t="str">
        <f>"5860406014114"</f>
        <v>5860406014114</v>
      </c>
      <c r="C906" s="4" t="str">
        <f t="shared" si="41"/>
        <v>600069</v>
      </c>
      <c r="D906" s="5">
        <v>69.66</v>
      </c>
    </row>
    <row r="907" spans="1:4" s="7" customFormat="1" ht="23.25" customHeight="1">
      <c r="A907" s="4" t="str">
        <f>"徐尚杰"</f>
        <v>徐尚杰</v>
      </c>
      <c r="B907" s="4" t="str">
        <f>"5860406014320"</f>
        <v>5860406014320</v>
      </c>
      <c r="C907" s="4" t="str">
        <f t="shared" si="41"/>
        <v>600069</v>
      </c>
      <c r="D907" s="5">
        <v>76.33</v>
      </c>
    </row>
    <row r="908" spans="1:4" s="7" customFormat="1" ht="23.25" customHeight="1">
      <c r="A908" s="4" t="str">
        <f>"黄咪"</f>
        <v>黄咪</v>
      </c>
      <c r="B908" s="4" t="str">
        <f>"5860406014421"</f>
        <v>5860406014421</v>
      </c>
      <c r="C908" s="4" t="str">
        <f aca="true" t="shared" si="42" ref="C908:C943">"600070"</f>
        <v>600070</v>
      </c>
      <c r="D908" s="5">
        <v>80.67</v>
      </c>
    </row>
    <row r="909" spans="1:4" s="7" customFormat="1" ht="23.25" customHeight="1">
      <c r="A909" s="4" t="str">
        <f>"何建利"</f>
        <v>何建利</v>
      </c>
      <c r="B909" s="4" t="str">
        <f>"5860406014501"</f>
        <v>5860406014501</v>
      </c>
      <c r="C909" s="4" t="str">
        <f t="shared" si="42"/>
        <v>600070</v>
      </c>
      <c r="D909" s="5">
        <v>80.67</v>
      </c>
    </row>
    <row r="910" spans="1:4" s="7" customFormat="1" ht="23.25" customHeight="1">
      <c r="A910" s="4" t="str">
        <f>"郑权"</f>
        <v>郑权</v>
      </c>
      <c r="B910" s="4" t="str">
        <f>"5860406014505"</f>
        <v>5860406014505</v>
      </c>
      <c r="C910" s="4" t="str">
        <f t="shared" si="42"/>
        <v>600070</v>
      </c>
      <c r="D910" s="5">
        <v>83.67</v>
      </c>
    </row>
    <row r="911" spans="1:4" s="7" customFormat="1" ht="23.25" customHeight="1">
      <c r="A911" s="4" t="str">
        <f>"刘肖"</f>
        <v>刘肖</v>
      </c>
      <c r="B911" s="4" t="str">
        <f>"5860406014509"</f>
        <v>5860406014509</v>
      </c>
      <c r="C911" s="4" t="str">
        <f t="shared" si="42"/>
        <v>600070</v>
      </c>
      <c r="D911" s="5">
        <v>82.67</v>
      </c>
    </row>
    <row r="912" spans="1:4" s="7" customFormat="1" ht="23.25" customHeight="1">
      <c r="A912" s="4" t="str">
        <f>"刘旭升"</f>
        <v>刘旭升</v>
      </c>
      <c r="B912" s="4" t="str">
        <f>"5860406014409"</f>
        <v>5860406014409</v>
      </c>
      <c r="C912" s="4" t="str">
        <f t="shared" si="42"/>
        <v>600070</v>
      </c>
      <c r="D912" s="5">
        <v>78</v>
      </c>
    </row>
    <row r="913" spans="1:4" s="7" customFormat="1" ht="23.25" customHeight="1">
      <c r="A913" s="4" t="str">
        <f>"鲁瑜"</f>
        <v>鲁瑜</v>
      </c>
      <c r="B913" s="4" t="str">
        <f>"5860406014404"</f>
        <v>5860406014404</v>
      </c>
      <c r="C913" s="4" t="str">
        <f t="shared" si="42"/>
        <v>600070</v>
      </c>
      <c r="D913" s="5">
        <v>81</v>
      </c>
    </row>
    <row r="914" spans="1:4" s="7" customFormat="1" ht="23.25" customHeight="1">
      <c r="A914" s="4" t="str">
        <f>"鲁佳"</f>
        <v>鲁佳</v>
      </c>
      <c r="B914" s="4" t="str">
        <f>"5860406014416"</f>
        <v>5860406014416</v>
      </c>
      <c r="C914" s="4" t="str">
        <f t="shared" si="42"/>
        <v>600070</v>
      </c>
      <c r="D914" s="5">
        <v>82.33</v>
      </c>
    </row>
    <row r="915" spans="1:4" s="7" customFormat="1" ht="23.25" customHeight="1">
      <c r="A915" s="4" t="str">
        <f>"蔡婷婷"</f>
        <v>蔡婷婷</v>
      </c>
      <c r="B915" s="4" t="str">
        <f>"5860406014506"</f>
        <v>5860406014506</v>
      </c>
      <c r="C915" s="4" t="str">
        <f t="shared" si="42"/>
        <v>600070</v>
      </c>
      <c r="D915" s="5">
        <v>83.67</v>
      </c>
    </row>
    <row r="916" spans="1:4" s="7" customFormat="1" ht="23.25" customHeight="1">
      <c r="A916" s="4" t="str">
        <f>"王莉"</f>
        <v>王莉</v>
      </c>
      <c r="B916" s="4" t="str">
        <f>"5860406014503"</f>
        <v>5860406014503</v>
      </c>
      <c r="C916" s="4" t="str">
        <f t="shared" si="42"/>
        <v>600070</v>
      </c>
      <c r="D916" s="5">
        <v>84</v>
      </c>
    </row>
    <row r="917" spans="1:4" s="7" customFormat="1" ht="23.25" customHeight="1">
      <c r="A917" s="4" t="str">
        <f>"焦小红"</f>
        <v>焦小红</v>
      </c>
      <c r="B917" s="4" t="str">
        <f>"5860406014504"</f>
        <v>5860406014504</v>
      </c>
      <c r="C917" s="4" t="str">
        <f t="shared" si="42"/>
        <v>600070</v>
      </c>
      <c r="D917" s="5">
        <v>80.33</v>
      </c>
    </row>
    <row r="918" spans="1:4" s="7" customFormat="1" ht="23.25" customHeight="1">
      <c r="A918" s="4" t="str">
        <f>"熊渊"</f>
        <v>熊渊</v>
      </c>
      <c r="B918" s="4" t="str">
        <f>"5860406014507"</f>
        <v>5860406014507</v>
      </c>
      <c r="C918" s="4" t="str">
        <f t="shared" si="42"/>
        <v>600070</v>
      </c>
      <c r="D918" s="5">
        <v>78</v>
      </c>
    </row>
    <row r="919" spans="1:4" s="7" customFormat="1" ht="23.25" customHeight="1">
      <c r="A919" s="4" t="str">
        <f>"柳雪梅"</f>
        <v>柳雪梅</v>
      </c>
      <c r="B919" s="4" t="str">
        <f>"5860406014419"</f>
        <v>5860406014419</v>
      </c>
      <c r="C919" s="4" t="str">
        <f t="shared" si="42"/>
        <v>600070</v>
      </c>
      <c r="D919" s="5">
        <v>83.67</v>
      </c>
    </row>
    <row r="920" spans="1:4" s="7" customFormat="1" ht="23.25" customHeight="1">
      <c r="A920" s="4" t="str">
        <f>"卢钱利"</f>
        <v>卢钱利</v>
      </c>
      <c r="B920" s="4" t="str">
        <f>"5860406014423"</f>
        <v>5860406014423</v>
      </c>
      <c r="C920" s="4" t="str">
        <f t="shared" si="42"/>
        <v>600070</v>
      </c>
      <c r="D920" s="5">
        <v>82.67</v>
      </c>
    </row>
    <row r="921" spans="1:4" s="7" customFormat="1" ht="23.25" customHeight="1">
      <c r="A921" s="4" t="str">
        <f>"张琼心"</f>
        <v>张琼心</v>
      </c>
      <c r="B921" s="4" t="str">
        <f>"5860406014513"</f>
        <v>5860406014513</v>
      </c>
      <c r="C921" s="4" t="str">
        <f t="shared" si="42"/>
        <v>600070</v>
      </c>
      <c r="D921" s="5">
        <v>86</v>
      </c>
    </row>
    <row r="922" spans="1:4" s="7" customFormat="1" ht="23.25" customHeight="1">
      <c r="A922" s="4" t="str">
        <f>"何丽"</f>
        <v>何丽</v>
      </c>
      <c r="B922" s="4" t="str">
        <f>"5860406014410"</f>
        <v>5860406014410</v>
      </c>
      <c r="C922" s="4" t="str">
        <f t="shared" si="42"/>
        <v>600070</v>
      </c>
      <c r="D922" s="5">
        <v>86</v>
      </c>
    </row>
    <row r="923" spans="1:4" s="7" customFormat="1" ht="23.25" customHeight="1">
      <c r="A923" s="4" t="str">
        <f>"赵芷萱"</f>
        <v>赵芷萱</v>
      </c>
      <c r="B923" s="4" t="str">
        <f>"5860406014418"</f>
        <v>5860406014418</v>
      </c>
      <c r="C923" s="4" t="str">
        <f t="shared" si="42"/>
        <v>600070</v>
      </c>
      <c r="D923" s="5">
        <v>81.33</v>
      </c>
    </row>
    <row r="924" spans="1:4" s="7" customFormat="1" ht="23.25" customHeight="1">
      <c r="A924" s="4" t="str">
        <f>"周奎"</f>
        <v>周奎</v>
      </c>
      <c r="B924" s="4" t="str">
        <f>"5860406014430"</f>
        <v>5860406014430</v>
      </c>
      <c r="C924" s="4" t="str">
        <f t="shared" si="42"/>
        <v>600070</v>
      </c>
      <c r="D924" s="5">
        <v>83</v>
      </c>
    </row>
    <row r="925" spans="1:4" s="7" customFormat="1" ht="23.25" customHeight="1">
      <c r="A925" s="4" t="str">
        <f>"张俊"</f>
        <v>张俊</v>
      </c>
      <c r="B925" s="4" t="str">
        <f>"5860406014420"</f>
        <v>5860406014420</v>
      </c>
      <c r="C925" s="4" t="str">
        <f t="shared" si="42"/>
        <v>600070</v>
      </c>
      <c r="D925" s="5">
        <v>78.33</v>
      </c>
    </row>
    <row r="926" spans="1:4" s="7" customFormat="1" ht="23.25" customHeight="1">
      <c r="A926" s="4" t="str">
        <f>"廖芳"</f>
        <v>廖芳</v>
      </c>
      <c r="B926" s="4" t="str">
        <f>"5860406014427"</f>
        <v>5860406014427</v>
      </c>
      <c r="C926" s="4" t="str">
        <f t="shared" si="42"/>
        <v>600070</v>
      </c>
      <c r="D926" s="5">
        <v>70</v>
      </c>
    </row>
    <row r="927" spans="1:4" s="7" customFormat="1" ht="23.25" customHeight="1">
      <c r="A927" s="4" t="str">
        <f>"陈广英"</f>
        <v>陈广英</v>
      </c>
      <c r="B927" s="4" t="str">
        <f>"5860406014429"</f>
        <v>5860406014429</v>
      </c>
      <c r="C927" s="4" t="str">
        <f t="shared" si="42"/>
        <v>600070</v>
      </c>
      <c r="D927" s="5">
        <v>87.67</v>
      </c>
    </row>
    <row r="928" spans="1:4" s="7" customFormat="1" ht="23.25" customHeight="1">
      <c r="A928" s="4" t="str">
        <f>"刘娜"</f>
        <v>刘娜</v>
      </c>
      <c r="B928" s="4" t="str">
        <f>"5860406014523"</f>
        <v>5860406014523</v>
      </c>
      <c r="C928" s="4" t="str">
        <f t="shared" si="42"/>
        <v>600070</v>
      </c>
      <c r="D928" s="5">
        <v>78.67</v>
      </c>
    </row>
    <row r="929" spans="1:4" s="7" customFormat="1" ht="23.25" customHeight="1">
      <c r="A929" s="4" t="str">
        <f>"王怡欢"</f>
        <v>王怡欢</v>
      </c>
      <c r="B929" s="4" t="str">
        <f>"5860406014413"</f>
        <v>5860406014413</v>
      </c>
      <c r="C929" s="4" t="str">
        <f t="shared" si="42"/>
        <v>600070</v>
      </c>
      <c r="D929" s="5">
        <v>86.67</v>
      </c>
    </row>
    <row r="930" spans="1:4" s="7" customFormat="1" ht="23.25" customHeight="1">
      <c r="A930" s="4" t="str">
        <f>"张英"</f>
        <v>张英</v>
      </c>
      <c r="B930" s="4" t="str">
        <f>"5860406014414"</f>
        <v>5860406014414</v>
      </c>
      <c r="C930" s="4" t="str">
        <f t="shared" si="42"/>
        <v>600070</v>
      </c>
      <c r="D930" s="5">
        <v>82</v>
      </c>
    </row>
    <row r="931" spans="1:4" s="7" customFormat="1" ht="23.25" customHeight="1">
      <c r="A931" s="4" t="str">
        <f>"朱小会"</f>
        <v>朱小会</v>
      </c>
      <c r="B931" s="4" t="str">
        <f>"5860406014417"</f>
        <v>5860406014417</v>
      </c>
      <c r="C931" s="4" t="str">
        <f t="shared" si="42"/>
        <v>600070</v>
      </c>
      <c r="D931" s="5">
        <v>79.67</v>
      </c>
    </row>
    <row r="932" spans="1:4" s="7" customFormat="1" ht="23.25" customHeight="1">
      <c r="A932" s="4" t="str">
        <f>"王亚飞"</f>
        <v>王亚飞</v>
      </c>
      <c r="B932" s="4" t="str">
        <f>"5860406014425"</f>
        <v>5860406014425</v>
      </c>
      <c r="C932" s="4" t="str">
        <f t="shared" si="42"/>
        <v>600070</v>
      </c>
      <c r="D932" s="5">
        <v>82.67</v>
      </c>
    </row>
    <row r="933" spans="1:4" s="7" customFormat="1" ht="23.25" customHeight="1">
      <c r="A933" s="4" t="str">
        <f>"邵娟"</f>
        <v>邵娟</v>
      </c>
      <c r="B933" s="4" t="str">
        <f>"5860406014426"</f>
        <v>5860406014426</v>
      </c>
      <c r="C933" s="4" t="str">
        <f t="shared" si="42"/>
        <v>600070</v>
      </c>
      <c r="D933" s="5">
        <v>81</v>
      </c>
    </row>
    <row r="934" spans="1:4" s="7" customFormat="1" ht="23.25" customHeight="1">
      <c r="A934" s="4" t="str">
        <f>"黎福均"</f>
        <v>黎福均</v>
      </c>
      <c r="B934" s="4" t="str">
        <f>"5860406014521"</f>
        <v>5860406014521</v>
      </c>
      <c r="C934" s="4" t="str">
        <f t="shared" si="42"/>
        <v>600070</v>
      </c>
      <c r="D934" s="5">
        <v>79</v>
      </c>
    </row>
    <row r="935" spans="1:4" s="7" customFormat="1" ht="23.25" customHeight="1">
      <c r="A935" s="4" t="str">
        <f>"李力"</f>
        <v>李力</v>
      </c>
      <c r="B935" s="4" t="str">
        <f>"5860406014403"</f>
        <v>5860406014403</v>
      </c>
      <c r="C935" s="4" t="str">
        <f t="shared" si="42"/>
        <v>600070</v>
      </c>
      <c r="D935" s="5">
        <v>87</v>
      </c>
    </row>
    <row r="936" spans="1:4" s="7" customFormat="1" ht="23.25" customHeight="1">
      <c r="A936" s="4" t="str">
        <f>"李佳井"</f>
        <v>李佳井</v>
      </c>
      <c r="B936" s="4" t="str">
        <f>"5860406014422"</f>
        <v>5860406014422</v>
      </c>
      <c r="C936" s="4" t="str">
        <f t="shared" si="42"/>
        <v>600070</v>
      </c>
      <c r="D936" s="5">
        <v>70</v>
      </c>
    </row>
    <row r="937" spans="1:4" s="7" customFormat="1" ht="23.25" customHeight="1">
      <c r="A937" s="4" t="str">
        <f>"刘玥"</f>
        <v>刘玥</v>
      </c>
      <c r="B937" s="4" t="str">
        <f>"5860406014512"</f>
        <v>5860406014512</v>
      </c>
      <c r="C937" s="4" t="str">
        <f t="shared" si="42"/>
        <v>600070</v>
      </c>
      <c r="D937" s="5">
        <v>78.33</v>
      </c>
    </row>
    <row r="938" spans="1:4" s="7" customFormat="1" ht="23.25" customHeight="1">
      <c r="A938" s="4" t="str">
        <f>"谢德娟"</f>
        <v>谢德娟</v>
      </c>
      <c r="B938" s="4" t="str">
        <f>"5860406014415"</f>
        <v>5860406014415</v>
      </c>
      <c r="C938" s="4" t="str">
        <f t="shared" si="42"/>
        <v>600070</v>
      </c>
      <c r="D938" s="5">
        <v>83.67</v>
      </c>
    </row>
    <row r="939" spans="1:4" s="7" customFormat="1" ht="23.25" customHeight="1">
      <c r="A939" s="4" t="str">
        <f>"黄岚"</f>
        <v>黄岚</v>
      </c>
      <c r="B939" s="4" t="str">
        <f>"5860406014518"</f>
        <v>5860406014518</v>
      </c>
      <c r="C939" s="4" t="str">
        <f t="shared" si="42"/>
        <v>600070</v>
      </c>
      <c r="D939" s="5">
        <v>85</v>
      </c>
    </row>
    <row r="940" spans="1:4" s="7" customFormat="1" ht="23.25" customHeight="1">
      <c r="A940" s="4" t="str">
        <f>"彭博"</f>
        <v>彭博</v>
      </c>
      <c r="B940" s="4" t="str">
        <f>"5860406014401"</f>
        <v>5860406014401</v>
      </c>
      <c r="C940" s="4" t="str">
        <f t="shared" si="42"/>
        <v>600070</v>
      </c>
      <c r="D940" s="5">
        <v>73.67</v>
      </c>
    </row>
    <row r="941" spans="1:4" s="7" customFormat="1" ht="23.25" customHeight="1">
      <c r="A941" s="4" t="str">
        <f>"朱高兰"</f>
        <v>朱高兰</v>
      </c>
      <c r="B941" s="4" t="str">
        <f>"5860406014411"</f>
        <v>5860406014411</v>
      </c>
      <c r="C941" s="4" t="str">
        <f t="shared" si="42"/>
        <v>600070</v>
      </c>
      <c r="D941" s="5">
        <v>83.33</v>
      </c>
    </row>
    <row r="942" spans="1:4" s="7" customFormat="1" ht="23.25" customHeight="1">
      <c r="A942" s="4" t="str">
        <f>"邓艳"</f>
        <v>邓艳</v>
      </c>
      <c r="B942" s="4" t="str">
        <f>"5860406014424"</f>
        <v>5860406014424</v>
      </c>
      <c r="C942" s="4" t="str">
        <f t="shared" si="42"/>
        <v>600070</v>
      </c>
      <c r="D942" s="5">
        <v>83.33</v>
      </c>
    </row>
    <row r="943" spans="1:4" s="7" customFormat="1" ht="23.25" customHeight="1">
      <c r="A943" s="4" t="str">
        <f>"谭杰"</f>
        <v>谭杰</v>
      </c>
      <c r="B943" s="4" t="str">
        <f>"5860406014428"</f>
        <v>5860406014428</v>
      </c>
      <c r="C943" s="4" t="str">
        <f t="shared" si="42"/>
        <v>600070</v>
      </c>
      <c r="D943" s="5">
        <v>80</v>
      </c>
    </row>
    <row r="944" spans="1:4" s="7" customFormat="1" ht="23.25" customHeight="1">
      <c r="A944" s="4" t="str">
        <f>"程路遥"</f>
        <v>程路遥</v>
      </c>
      <c r="B944" s="4" t="str">
        <f>"5860406014530"</f>
        <v>5860406014530</v>
      </c>
      <c r="C944" s="4" t="str">
        <f aca="true" t="shared" si="43" ref="C944:C980">"600071"</f>
        <v>600071</v>
      </c>
      <c r="D944" s="5">
        <v>74.67</v>
      </c>
    </row>
    <row r="945" spans="1:4" s="7" customFormat="1" ht="23.25" customHeight="1">
      <c r="A945" s="4" t="str">
        <f>"杨均友"</f>
        <v>杨均友</v>
      </c>
      <c r="B945" s="4" t="str">
        <f>"5860406020325"</f>
        <v>5860406020325</v>
      </c>
      <c r="C945" s="4" t="str">
        <f t="shared" si="43"/>
        <v>600071</v>
      </c>
      <c r="D945" s="5">
        <v>82.67</v>
      </c>
    </row>
    <row r="946" spans="1:4" s="7" customFormat="1" ht="23.25" customHeight="1">
      <c r="A946" s="4" t="str">
        <f>"彭春月"</f>
        <v>彭春月</v>
      </c>
      <c r="B946" s="4" t="str">
        <f>"5860406020209"</f>
        <v>5860406020209</v>
      </c>
      <c r="C946" s="4" t="str">
        <f t="shared" si="43"/>
        <v>600071</v>
      </c>
      <c r="D946" s="5">
        <v>87.67</v>
      </c>
    </row>
    <row r="947" spans="1:4" s="7" customFormat="1" ht="23.25" customHeight="1">
      <c r="A947" s="4" t="str">
        <f>"陈开均"</f>
        <v>陈开均</v>
      </c>
      <c r="B947" s="4" t="str">
        <f>"5860406020128"</f>
        <v>5860406020128</v>
      </c>
      <c r="C947" s="4" t="str">
        <f t="shared" si="43"/>
        <v>600071</v>
      </c>
      <c r="D947" s="5" t="s">
        <v>36</v>
      </c>
    </row>
    <row r="948" spans="1:4" s="7" customFormat="1" ht="23.25" customHeight="1">
      <c r="A948" s="4" t="str">
        <f>"张露丹"</f>
        <v>张露丹</v>
      </c>
      <c r="B948" s="4" t="str">
        <f>"5860406020130"</f>
        <v>5860406020130</v>
      </c>
      <c r="C948" s="4" t="str">
        <f t="shared" si="43"/>
        <v>600071</v>
      </c>
      <c r="D948" s="5">
        <v>89.33</v>
      </c>
    </row>
    <row r="949" spans="1:4" s="7" customFormat="1" ht="23.25" customHeight="1">
      <c r="A949" s="4" t="str">
        <f>"蒋林芳"</f>
        <v>蒋林芳</v>
      </c>
      <c r="B949" s="4" t="str">
        <f>"5860406020306"</f>
        <v>5860406020306</v>
      </c>
      <c r="C949" s="4" t="str">
        <f t="shared" si="43"/>
        <v>600071</v>
      </c>
      <c r="D949" s="5">
        <v>84.67</v>
      </c>
    </row>
    <row r="950" spans="1:4" s="7" customFormat="1" ht="23.25" customHeight="1">
      <c r="A950" s="4" t="str">
        <f>"曹寒梅"</f>
        <v>曹寒梅</v>
      </c>
      <c r="B950" s="4" t="str">
        <f>"5860406020315"</f>
        <v>5860406020315</v>
      </c>
      <c r="C950" s="4" t="str">
        <f t="shared" si="43"/>
        <v>600071</v>
      </c>
      <c r="D950" s="5">
        <v>80.67</v>
      </c>
    </row>
    <row r="951" spans="1:4" s="7" customFormat="1" ht="23.25" customHeight="1">
      <c r="A951" s="4" t="str">
        <f>"周莉娟"</f>
        <v>周莉娟</v>
      </c>
      <c r="B951" s="4" t="str">
        <f>"5860406020110"</f>
        <v>5860406020110</v>
      </c>
      <c r="C951" s="4" t="str">
        <f t="shared" si="43"/>
        <v>600071</v>
      </c>
      <c r="D951" s="5">
        <v>79</v>
      </c>
    </row>
    <row r="952" spans="1:4" s="7" customFormat="1" ht="23.25" customHeight="1">
      <c r="A952" s="4" t="str">
        <f>"杨清麟"</f>
        <v>杨清麟</v>
      </c>
      <c r="B952" s="4" t="str">
        <f>"5860406020303"</f>
        <v>5860406020303</v>
      </c>
      <c r="C952" s="4" t="str">
        <f t="shared" si="43"/>
        <v>600071</v>
      </c>
      <c r="D952" s="5">
        <v>84.33</v>
      </c>
    </row>
    <row r="953" spans="1:4" s="7" customFormat="1" ht="23.25" customHeight="1">
      <c r="A953" s="4" t="str">
        <f>"刘凤娇"</f>
        <v>刘凤娇</v>
      </c>
      <c r="B953" s="4" t="str">
        <f>"5860406020121"</f>
        <v>5860406020121</v>
      </c>
      <c r="C953" s="4" t="str">
        <f t="shared" si="43"/>
        <v>600071</v>
      </c>
      <c r="D953" s="5">
        <v>77.67</v>
      </c>
    </row>
    <row r="954" spans="1:4" s="7" customFormat="1" ht="23.25" customHeight="1">
      <c r="A954" s="4" t="str">
        <f>"周川"</f>
        <v>周川</v>
      </c>
      <c r="B954" s="4" t="str">
        <f>"5860406020308"</f>
        <v>5860406020308</v>
      </c>
      <c r="C954" s="4" t="str">
        <f t="shared" si="43"/>
        <v>600071</v>
      </c>
      <c r="D954" s="5">
        <v>87</v>
      </c>
    </row>
    <row r="955" spans="1:4" s="7" customFormat="1" ht="23.25" customHeight="1">
      <c r="A955" s="4" t="str">
        <f>"廖中英"</f>
        <v>廖中英</v>
      </c>
      <c r="B955" s="4" t="str">
        <f>"5860406020225"</f>
        <v>5860406020225</v>
      </c>
      <c r="C955" s="4" t="str">
        <f t="shared" si="43"/>
        <v>600071</v>
      </c>
      <c r="D955" s="5">
        <v>80</v>
      </c>
    </row>
    <row r="956" spans="1:4" s="7" customFormat="1" ht="23.25" customHeight="1">
      <c r="A956" s="4" t="str">
        <f>"胡延安"</f>
        <v>胡延安</v>
      </c>
      <c r="B956" s="4" t="str">
        <f>"5860406020302"</f>
        <v>5860406020302</v>
      </c>
      <c r="C956" s="4" t="str">
        <f t="shared" si="43"/>
        <v>600071</v>
      </c>
      <c r="D956" s="5">
        <v>84.33</v>
      </c>
    </row>
    <row r="957" spans="1:4" s="7" customFormat="1" ht="23.25" customHeight="1">
      <c r="A957" s="4" t="str">
        <f>"尹家容"</f>
        <v>尹家容</v>
      </c>
      <c r="B957" s="4" t="str">
        <f>"5860406020311"</f>
        <v>5860406020311</v>
      </c>
      <c r="C957" s="4" t="str">
        <f t="shared" si="43"/>
        <v>600071</v>
      </c>
      <c r="D957" s="5">
        <v>77</v>
      </c>
    </row>
    <row r="958" spans="1:4" s="7" customFormat="1" ht="23.25" customHeight="1">
      <c r="A958" s="4" t="str">
        <f>"李纯"</f>
        <v>李纯</v>
      </c>
      <c r="B958" s="4" t="str">
        <f>"5860406020106"</f>
        <v>5860406020106</v>
      </c>
      <c r="C958" s="4" t="str">
        <f t="shared" si="43"/>
        <v>600071</v>
      </c>
      <c r="D958" s="5">
        <v>89.33</v>
      </c>
    </row>
    <row r="959" spans="1:4" s="7" customFormat="1" ht="23.25" customHeight="1">
      <c r="A959" s="4" t="str">
        <f>"窦北平"</f>
        <v>窦北平</v>
      </c>
      <c r="B959" s="4" t="str">
        <f>"5860406020109"</f>
        <v>5860406020109</v>
      </c>
      <c r="C959" s="4" t="str">
        <f t="shared" si="43"/>
        <v>600071</v>
      </c>
      <c r="D959" s="5">
        <v>76.33</v>
      </c>
    </row>
    <row r="960" spans="1:4" s="7" customFormat="1" ht="23.25" customHeight="1">
      <c r="A960" s="4" t="str">
        <f>"王梅"</f>
        <v>王梅</v>
      </c>
      <c r="B960" s="4" t="str">
        <f>"5860406020211"</f>
        <v>5860406020211</v>
      </c>
      <c r="C960" s="4" t="str">
        <f t="shared" si="43"/>
        <v>600071</v>
      </c>
      <c r="D960" s="5">
        <v>71.33</v>
      </c>
    </row>
    <row r="961" spans="1:4" s="7" customFormat="1" ht="23.25" customHeight="1">
      <c r="A961" s="4" t="str">
        <f>"张雪梅"</f>
        <v>张雪梅</v>
      </c>
      <c r="B961" s="4" t="str">
        <f>"5860406020402"</f>
        <v>5860406020402</v>
      </c>
      <c r="C961" s="4" t="str">
        <f t="shared" si="43"/>
        <v>600071</v>
      </c>
      <c r="D961" s="5">
        <v>77</v>
      </c>
    </row>
    <row r="962" spans="1:4" s="7" customFormat="1" ht="23.25" customHeight="1">
      <c r="A962" s="4" t="str">
        <f>"马月秋"</f>
        <v>马月秋</v>
      </c>
      <c r="B962" s="4" t="str">
        <f>"5860406020305"</f>
        <v>5860406020305</v>
      </c>
      <c r="C962" s="4" t="str">
        <f t="shared" si="43"/>
        <v>600071</v>
      </c>
      <c r="D962" s="5">
        <v>67.33</v>
      </c>
    </row>
    <row r="963" spans="1:4" s="7" customFormat="1" ht="23.25" customHeight="1">
      <c r="A963" s="4" t="str">
        <f>"严小雪"</f>
        <v>严小雪</v>
      </c>
      <c r="B963" s="4" t="str">
        <f>"5860406020105"</f>
        <v>5860406020105</v>
      </c>
      <c r="C963" s="4" t="str">
        <f t="shared" si="43"/>
        <v>600071</v>
      </c>
      <c r="D963" s="5">
        <v>71</v>
      </c>
    </row>
    <row r="964" spans="1:4" s="7" customFormat="1" ht="23.25" customHeight="1">
      <c r="A964" s="4" t="str">
        <f>"易雪玲"</f>
        <v>易雪玲</v>
      </c>
      <c r="B964" s="4" t="str">
        <f>"5860406020216"</f>
        <v>5860406020216</v>
      </c>
      <c r="C964" s="4" t="str">
        <f t="shared" si="43"/>
        <v>600071</v>
      </c>
      <c r="D964" s="5">
        <v>71.33</v>
      </c>
    </row>
    <row r="965" spans="1:4" s="7" customFormat="1" ht="23.25" customHeight="1">
      <c r="A965" s="4" t="str">
        <f>"罗琴"</f>
        <v>罗琴</v>
      </c>
      <c r="B965" s="4" t="str">
        <f>"5860406020220"</f>
        <v>5860406020220</v>
      </c>
      <c r="C965" s="4" t="str">
        <f t="shared" si="43"/>
        <v>600071</v>
      </c>
      <c r="D965" s="5">
        <v>83.67</v>
      </c>
    </row>
    <row r="966" spans="1:4" s="7" customFormat="1" ht="23.25" customHeight="1">
      <c r="A966" s="4" t="str">
        <f>"郑媛"</f>
        <v>郑媛</v>
      </c>
      <c r="B966" s="4" t="str">
        <f>"5860406020304"</f>
        <v>5860406020304</v>
      </c>
      <c r="C966" s="4" t="str">
        <f t="shared" si="43"/>
        <v>600071</v>
      </c>
      <c r="D966" s="5">
        <v>86.33</v>
      </c>
    </row>
    <row r="967" spans="1:4" s="7" customFormat="1" ht="23.25" customHeight="1">
      <c r="A967" s="4" t="str">
        <f>"杨世凤"</f>
        <v>杨世凤</v>
      </c>
      <c r="B967" s="4" t="str">
        <f>"5860406020329"</f>
        <v>5860406020329</v>
      </c>
      <c r="C967" s="4" t="str">
        <f t="shared" si="43"/>
        <v>600071</v>
      </c>
      <c r="D967" s="5">
        <v>87</v>
      </c>
    </row>
    <row r="968" spans="1:4" s="7" customFormat="1" ht="23.25" customHeight="1">
      <c r="A968" s="4" t="str">
        <f>"熊秋秋"</f>
        <v>熊秋秋</v>
      </c>
      <c r="B968" s="4" t="str">
        <f>"5860406020218"</f>
        <v>5860406020218</v>
      </c>
      <c r="C968" s="4" t="str">
        <f t="shared" si="43"/>
        <v>600071</v>
      </c>
      <c r="D968" s="5">
        <v>70.67</v>
      </c>
    </row>
    <row r="969" spans="1:4" s="7" customFormat="1" ht="23.25" customHeight="1">
      <c r="A969" s="4" t="str">
        <f>"曹秋琴"</f>
        <v>曹秋琴</v>
      </c>
      <c r="B969" s="4" t="str">
        <f>"5860406020314"</f>
        <v>5860406020314</v>
      </c>
      <c r="C969" s="4" t="str">
        <f t="shared" si="43"/>
        <v>600071</v>
      </c>
      <c r="D969" s="5">
        <v>83</v>
      </c>
    </row>
    <row r="970" spans="1:4" s="7" customFormat="1" ht="23.25" customHeight="1">
      <c r="A970" s="4" t="str">
        <f>"张芬"</f>
        <v>张芬</v>
      </c>
      <c r="B970" s="4" t="str">
        <f>"5860406020318"</f>
        <v>5860406020318</v>
      </c>
      <c r="C970" s="4" t="str">
        <f t="shared" si="43"/>
        <v>600071</v>
      </c>
      <c r="D970" s="5">
        <v>70.67</v>
      </c>
    </row>
    <row r="971" spans="1:4" s="7" customFormat="1" ht="23.25" customHeight="1">
      <c r="A971" s="4" t="str">
        <f>"王堂艳"</f>
        <v>王堂艳</v>
      </c>
      <c r="B971" s="4" t="str">
        <f>"5860406020125"</f>
        <v>5860406020125</v>
      </c>
      <c r="C971" s="4" t="str">
        <f t="shared" si="43"/>
        <v>600071</v>
      </c>
      <c r="D971" s="5">
        <v>76</v>
      </c>
    </row>
    <row r="972" spans="1:4" s="7" customFormat="1" ht="23.25" customHeight="1">
      <c r="A972" s="4" t="str">
        <f>"查宗来"</f>
        <v>查宗来</v>
      </c>
      <c r="B972" s="4" t="str">
        <f>"5860406020215"</f>
        <v>5860406020215</v>
      </c>
      <c r="C972" s="4" t="str">
        <f t="shared" si="43"/>
        <v>600071</v>
      </c>
      <c r="D972" s="5">
        <v>77</v>
      </c>
    </row>
    <row r="973" spans="1:4" s="7" customFormat="1" ht="23.25" customHeight="1">
      <c r="A973" s="4" t="str">
        <f>"张德曲"</f>
        <v>张德曲</v>
      </c>
      <c r="B973" s="4" t="str">
        <f>"5860406020102"</f>
        <v>5860406020102</v>
      </c>
      <c r="C973" s="4" t="str">
        <f t="shared" si="43"/>
        <v>600071</v>
      </c>
      <c r="D973" s="5">
        <v>81.33</v>
      </c>
    </row>
    <row r="974" spans="1:4" s="7" customFormat="1" ht="23.25" customHeight="1">
      <c r="A974" s="4" t="str">
        <f>"施朱珠"</f>
        <v>施朱珠</v>
      </c>
      <c r="B974" s="4" t="str">
        <f>"5860406020111"</f>
        <v>5860406020111</v>
      </c>
      <c r="C974" s="4" t="str">
        <f t="shared" si="43"/>
        <v>600071</v>
      </c>
      <c r="D974" s="5">
        <v>77.67</v>
      </c>
    </row>
    <row r="975" spans="1:4" s="7" customFormat="1" ht="23.25" customHeight="1">
      <c r="A975" s="4" t="str">
        <f>"杨娇"</f>
        <v>杨娇</v>
      </c>
      <c r="B975" s="4" t="str">
        <f>"5860406020129"</f>
        <v>5860406020129</v>
      </c>
      <c r="C975" s="4" t="str">
        <f t="shared" si="43"/>
        <v>600071</v>
      </c>
      <c r="D975" s="5">
        <v>75.67</v>
      </c>
    </row>
    <row r="976" spans="1:4" s="7" customFormat="1" ht="23.25" customHeight="1">
      <c r="A976" s="4" t="str">
        <f>"唐俊英"</f>
        <v>唐俊英</v>
      </c>
      <c r="B976" s="4" t="str">
        <f>"5860406020217"</f>
        <v>5860406020217</v>
      </c>
      <c r="C976" s="4" t="str">
        <f t="shared" si="43"/>
        <v>600071</v>
      </c>
      <c r="D976" s="5">
        <v>78.67</v>
      </c>
    </row>
    <row r="977" spans="1:4" s="7" customFormat="1" ht="23.25" customHeight="1">
      <c r="A977" s="4" t="str">
        <f>"赵彦彦"</f>
        <v>赵彦彦</v>
      </c>
      <c r="B977" s="4" t="str">
        <f>"5860406020405"</f>
        <v>5860406020405</v>
      </c>
      <c r="C977" s="4" t="str">
        <f t="shared" si="43"/>
        <v>600071</v>
      </c>
      <c r="D977" s="5" t="s">
        <v>36</v>
      </c>
    </row>
    <row r="978" spans="1:4" s="7" customFormat="1" ht="23.25" customHeight="1">
      <c r="A978" s="4" t="str">
        <f>"沈山川"</f>
        <v>沈山川</v>
      </c>
      <c r="B978" s="4" t="str">
        <f>"5860406014529"</f>
        <v>5860406014529</v>
      </c>
      <c r="C978" s="4" t="str">
        <f t="shared" si="43"/>
        <v>600071</v>
      </c>
      <c r="D978" s="5">
        <v>74</v>
      </c>
    </row>
    <row r="979" spans="1:4" s="7" customFormat="1" ht="23.25" customHeight="1">
      <c r="A979" s="4" t="str">
        <f>"罗小婷"</f>
        <v>罗小婷</v>
      </c>
      <c r="B979" s="4" t="str">
        <f>"5860406020207"</f>
        <v>5860406020207</v>
      </c>
      <c r="C979" s="4" t="str">
        <f t="shared" si="43"/>
        <v>600071</v>
      </c>
      <c r="D979" s="5">
        <v>69</v>
      </c>
    </row>
    <row r="980" spans="1:4" s="7" customFormat="1" ht="23.25" customHeight="1">
      <c r="A980" s="4" t="str">
        <f>"张艺蝶"</f>
        <v>张艺蝶</v>
      </c>
      <c r="B980" s="4" t="str">
        <f>"5860406020319"</f>
        <v>5860406020319</v>
      </c>
      <c r="C980" s="4" t="str">
        <f t="shared" si="43"/>
        <v>600071</v>
      </c>
      <c r="D980" s="5" t="s">
        <v>1</v>
      </c>
    </row>
    <row r="981" spans="1:4" s="7" customFormat="1" ht="23.25" customHeight="1">
      <c r="A981" s="4" t="str">
        <f>"张翔"</f>
        <v>张翔</v>
      </c>
      <c r="B981" s="4" t="str">
        <f>"5860406020720"</f>
        <v>5860406020720</v>
      </c>
      <c r="C981" s="4" t="str">
        <f aca="true" t="shared" si="44" ref="C981:C1020">"600072"</f>
        <v>600072</v>
      </c>
      <c r="D981" s="5">
        <v>85.33</v>
      </c>
    </row>
    <row r="982" spans="1:4" s="7" customFormat="1" ht="23.25" customHeight="1">
      <c r="A982" s="4" t="str">
        <f>"欧阳妍"</f>
        <v>欧阳妍</v>
      </c>
      <c r="B982" s="4" t="str">
        <f>"5860406020619"</f>
        <v>5860406020619</v>
      </c>
      <c r="C982" s="4" t="str">
        <f t="shared" si="44"/>
        <v>600072</v>
      </c>
      <c r="D982" s="5">
        <v>83</v>
      </c>
    </row>
    <row r="983" spans="1:4" s="7" customFormat="1" ht="23.25" customHeight="1">
      <c r="A983" s="4" t="str">
        <f>"彭莉"</f>
        <v>彭莉</v>
      </c>
      <c r="B983" s="4" t="str">
        <f>"5860406020425"</f>
        <v>5860406020425</v>
      </c>
      <c r="C983" s="4" t="str">
        <f t="shared" si="44"/>
        <v>600072</v>
      </c>
      <c r="D983" s="5">
        <v>83.33</v>
      </c>
    </row>
    <row r="984" spans="1:4" s="7" customFormat="1" ht="23.25" customHeight="1">
      <c r="A984" s="4" t="str">
        <f>"陈妍宏"</f>
        <v>陈妍宏</v>
      </c>
      <c r="B984" s="4" t="str">
        <f>"5860406020605"</f>
        <v>5860406020605</v>
      </c>
      <c r="C984" s="4" t="str">
        <f t="shared" si="44"/>
        <v>600072</v>
      </c>
      <c r="D984" s="5">
        <v>82.67</v>
      </c>
    </row>
    <row r="985" spans="1:4" s="7" customFormat="1" ht="23.25" customHeight="1">
      <c r="A985" s="4" t="str">
        <f>"黄倩"</f>
        <v>黄倩</v>
      </c>
      <c r="B985" s="4" t="str">
        <f>"5860406020615"</f>
        <v>5860406020615</v>
      </c>
      <c r="C985" s="4" t="str">
        <f t="shared" si="44"/>
        <v>600072</v>
      </c>
      <c r="D985" s="5">
        <v>80.67</v>
      </c>
    </row>
    <row r="986" spans="1:4" s="7" customFormat="1" ht="23.25" customHeight="1">
      <c r="A986" s="4" t="str">
        <f>"彭贞妮"</f>
        <v>彭贞妮</v>
      </c>
      <c r="B986" s="4" t="str">
        <f>"5860406020503"</f>
        <v>5860406020503</v>
      </c>
      <c r="C986" s="4" t="str">
        <f t="shared" si="44"/>
        <v>600072</v>
      </c>
      <c r="D986" s="5">
        <v>88</v>
      </c>
    </row>
    <row r="987" spans="1:4" s="7" customFormat="1" ht="23.25" customHeight="1">
      <c r="A987" s="4" t="str">
        <f>"李金蓉"</f>
        <v>李金蓉</v>
      </c>
      <c r="B987" s="4" t="str">
        <f>"5860406020610"</f>
        <v>5860406020610</v>
      </c>
      <c r="C987" s="4" t="str">
        <f t="shared" si="44"/>
        <v>600072</v>
      </c>
      <c r="D987" s="5">
        <v>87.67</v>
      </c>
    </row>
    <row r="988" spans="1:4" s="7" customFormat="1" ht="23.25" customHeight="1">
      <c r="A988" s="4" t="str">
        <f>"朱思灿"</f>
        <v>朱思灿</v>
      </c>
      <c r="B988" s="4" t="str">
        <f>"5860406020627"</f>
        <v>5860406020627</v>
      </c>
      <c r="C988" s="4" t="str">
        <f t="shared" si="44"/>
        <v>600072</v>
      </c>
      <c r="D988" s="5">
        <v>81</v>
      </c>
    </row>
    <row r="989" spans="1:4" s="7" customFormat="1" ht="23.25" customHeight="1">
      <c r="A989" s="4" t="str">
        <f>"王月"</f>
        <v>王月</v>
      </c>
      <c r="B989" s="4" t="str">
        <f>"5860406020519"</f>
        <v>5860406020519</v>
      </c>
      <c r="C989" s="4" t="str">
        <f t="shared" si="44"/>
        <v>600072</v>
      </c>
      <c r="D989" s="5" t="s">
        <v>36</v>
      </c>
    </row>
    <row r="990" spans="1:4" s="7" customFormat="1" ht="23.25" customHeight="1">
      <c r="A990" s="4" t="str">
        <f>"雷娅"</f>
        <v>雷娅</v>
      </c>
      <c r="B990" s="4" t="str">
        <f>"5860406020613"</f>
        <v>5860406020613</v>
      </c>
      <c r="C990" s="4" t="str">
        <f t="shared" si="44"/>
        <v>600072</v>
      </c>
      <c r="D990" s="5">
        <v>85</v>
      </c>
    </row>
    <row r="991" spans="1:4" s="7" customFormat="1" ht="23.25" customHeight="1">
      <c r="A991" s="4" t="str">
        <f>"苟云娥"</f>
        <v>苟云娥</v>
      </c>
      <c r="B991" s="4" t="str">
        <f>"5860406020712"</f>
        <v>5860406020712</v>
      </c>
      <c r="C991" s="4" t="str">
        <f t="shared" si="44"/>
        <v>600072</v>
      </c>
      <c r="D991" s="5">
        <v>85.67</v>
      </c>
    </row>
    <row r="992" spans="1:4" s="7" customFormat="1" ht="23.25" customHeight="1">
      <c r="A992" s="4" t="str">
        <f>"杨章洪"</f>
        <v>杨章洪</v>
      </c>
      <c r="B992" s="4" t="str">
        <f>"5860406020527"</f>
        <v>5860406020527</v>
      </c>
      <c r="C992" s="4" t="str">
        <f t="shared" si="44"/>
        <v>600072</v>
      </c>
      <c r="D992" s="5">
        <v>78.67</v>
      </c>
    </row>
    <row r="993" spans="1:4" s="7" customFormat="1" ht="23.25" customHeight="1">
      <c r="A993" s="4" t="str">
        <f>"张园"</f>
        <v>张园</v>
      </c>
      <c r="B993" s="4" t="str">
        <f>"5860406020428"</f>
        <v>5860406020428</v>
      </c>
      <c r="C993" s="4" t="str">
        <f t="shared" si="44"/>
        <v>600072</v>
      </c>
      <c r="D993" s="5">
        <v>80</v>
      </c>
    </row>
    <row r="994" spans="1:4" s="7" customFormat="1" ht="23.25" customHeight="1">
      <c r="A994" s="4" t="str">
        <f>"柏长元"</f>
        <v>柏长元</v>
      </c>
      <c r="B994" s="4" t="str">
        <f>"5860406020429"</f>
        <v>5860406020429</v>
      </c>
      <c r="C994" s="4" t="str">
        <f t="shared" si="44"/>
        <v>600072</v>
      </c>
      <c r="D994" s="5">
        <v>83</v>
      </c>
    </row>
    <row r="995" spans="1:4" s="7" customFormat="1" ht="23.25" customHeight="1">
      <c r="A995" s="4" t="str">
        <f>"张欢"</f>
        <v>张欢</v>
      </c>
      <c r="B995" s="4" t="str">
        <f>"5860406020603"</f>
        <v>5860406020603</v>
      </c>
      <c r="C995" s="4" t="str">
        <f t="shared" si="44"/>
        <v>600072</v>
      </c>
      <c r="D995" s="5">
        <v>83.67</v>
      </c>
    </row>
    <row r="996" spans="1:4" s="7" customFormat="1" ht="23.25" customHeight="1">
      <c r="A996" s="4" t="str">
        <f>"谢艳"</f>
        <v>谢艳</v>
      </c>
      <c r="B996" s="4" t="str">
        <f>"5860406020517"</f>
        <v>5860406020517</v>
      </c>
      <c r="C996" s="4" t="str">
        <f t="shared" si="44"/>
        <v>600072</v>
      </c>
      <c r="D996" s="5">
        <v>83.33</v>
      </c>
    </row>
    <row r="997" spans="1:4" s="7" customFormat="1" ht="23.25" customHeight="1">
      <c r="A997" s="4" t="str">
        <f>"黄海燕"</f>
        <v>黄海燕</v>
      </c>
      <c r="B997" s="4" t="str">
        <f>"5860406020530"</f>
        <v>5860406020530</v>
      </c>
      <c r="C997" s="4" t="str">
        <f t="shared" si="44"/>
        <v>600072</v>
      </c>
      <c r="D997" s="5">
        <v>87</v>
      </c>
    </row>
    <row r="998" spans="1:4" s="7" customFormat="1" ht="23.25" customHeight="1">
      <c r="A998" s="4" t="str">
        <f>"聂孝欢"</f>
        <v>聂孝欢</v>
      </c>
      <c r="B998" s="4" t="str">
        <f>"5860406020415"</f>
        <v>5860406020415</v>
      </c>
      <c r="C998" s="4" t="str">
        <f t="shared" si="44"/>
        <v>600072</v>
      </c>
      <c r="D998" s="5">
        <v>84</v>
      </c>
    </row>
    <row r="999" spans="1:4" s="7" customFormat="1" ht="23.25" customHeight="1">
      <c r="A999" s="4" t="str">
        <f>"谷之华"</f>
        <v>谷之华</v>
      </c>
      <c r="B999" s="4" t="str">
        <f>"5860406020505"</f>
        <v>5860406020505</v>
      </c>
      <c r="C999" s="4" t="str">
        <f t="shared" si="44"/>
        <v>600072</v>
      </c>
      <c r="D999" s="5">
        <v>77</v>
      </c>
    </row>
    <row r="1000" spans="1:4" s="7" customFormat="1" ht="23.25" customHeight="1">
      <c r="A1000" s="4" t="str">
        <f>"李立巧"</f>
        <v>李立巧</v>
      </c>
      <c r="B1000" s="4" t="str">
        <f>"5860406020511"</f>
        <v>5860406020511</v>
      </c>
      <c r="C1000" s="4" t="str">
        <f t="shared" si="44"/>
        <v>600072</v>
      </c>
      <c r="D1000" s="5">
        <v>83</v>
      </c>
    </row>
    <row r="1001" spans="1:4" s="7" customFormat="1" ht="23.25" customHeight="1">
      <c r="A1001" s="4" t="str">
        <f>"于艳"</f>
        <v>于艳</v>
      </c>
      <c r="B1001" s="4" t="str">
        <f>"5860406020609"</f>
        <v>5860406020609</v>
      </c>
      <c r="C1001" s="4" t="str">
        <f t="shared" si="44"/>
        <v>600072</v>
      </c>
      <c r="D1001" s="5">
        <v>77</v>
      </c>
    </row>
    <row r="1002" spans="1:4" s="7" customFormat="1" ht="23.25" customHeight="1">
      <c r="A1002" s="4" t="str">
        <f>"杨佳"</f>
        <v>杨佳</v>
      </c>
      <c r="B1002" s="4" t="str">
        <f>"5860406020621"</f>
        <v>5860406020621</v>
      </c>
      <c r="C1002" s="4" t="str">
        <f t="shared" si="44"/>
        <v>600072</v>
      </c>
      <c r="D1002" s="5">
        <v>84</v>
      </c>
    </row>
    <row r="1003" spans="1:4" s="7" customFormat="1" ht="23.25" customHeight="1">
      <c r="A1003" s="4" t="str">
        <f>"杨朋"</f>
        <v>杨朋</v>
      </c>
      <c r="B1003" s="4" t="str">
        <f>"5860406020424"</f>
        <v>5860406020424</v>
      </c>
      <c r="C1003" s="4" t="str">
        <f t="shared" si="44"/>
        <v>600072</v>
      </c>
      <c r="D1003" s="5">
        <v>80</v>
      </c>
    </row>
    <row r="1004" spans="1:4" s="7" customFormat="1" ht="23.25" customHeight="1">
      <c r="A1004" s="4" t="str">
        <f>"李兰"</f>
        <v>李兰</v>
      </c>
      <c r="B1004" s="4" t="str">
        <f>"5860406020601"</f>
        <v>5860406020601</v>
      </c>
      <c r="C1004" s="4" t="str">
        <f t="shared" si="44"/>
        <v>600072</v>
      </c>
      <c r="D1004" s="5">
        <v>80.67</v>
      </c>
    </row>
    <row r="1005" spans="1:4" s="7" customFormat="1" ht="23.25" customHeight="1">
      <c r="A1005" s="4" t="str">
        <f>"郭茜"</f>
        <v>郭茜</v>
      </c>
      <c r="B1005" s="4" t="str">
        <f>"5860406020520"</f>
        <v>5860406020520</v>
      </c>
      <c r="C1005" s="4" t="str">
        <f t="shared" si="44"/>
        <v>600072</v>
      </c>
      <c r="D1005" s="5">
        <v>79.67</v>
      </c>
    </row>
    <row r="1006" spans="1:4" s="7" customFormat="1" ht="23.25" customHeight="1">
      <c r="A1006" s="4" t="str">
        <f>"廖艳"</f>
        <v>廖艳</v>
      </c>
      <c r="B1006" s="4" t="str">
        <f>"5860406020616"</f>
        <v>5860406020616</v>
      </c>
      <c r="C1006" s="4" t="str">
        <f t="shared" si="44"/>
        <v>600072</v>
      </c>
      <c r="D1006" s="5">
        <v>81.33</v>
      </c>
    </row>
    <row r="1007" spans="1:4" s="7" customFormat="1" ht="23.25" customHeight="1">
      <c r="A1007" s="4" t="str">
        <f>"李睿"</f>
        <v>李睿</v>
      </c>
      <c r="B1007" s="4" t="str">
        <f>"5860406020623"</f>
        <v>5860406020623</v>
      </c>
      <c r="C1007" s="4" t="str">
        <f t="shared" si="44"/>
        <v>600072</v>
      </c>
      <c r="D1007" s="5">
        <v>82.33</v>
      </c>
    </row>
    <row r="1008" spans="1:4" s="7" customFormat="1" ht="23.25" customHeight="1">
      <c r="A1008" s="4" t="str">
        <f>"黄倩"</f>
        <v>黄倩</v>
      </c>
      <c r="B1008" s="4" t="str">
        <f>"5860406020724"</f>
        <v>5860406020724</v>
      </c>
      <c r="C1008" s="4" t="str">
        <f t="shared" si="44"/>
        <v>600072</v>
      </c>
      <c r="D1008" s="5" t="s">
        <v>36</v>
      </c>
    </row>
    <row r="1009" spans="1:4" s="7" customFormat="1" ht="23.25" customHeight="1">
      <c r="A1009" s="4" t="str">
        <f>"王勇"</f>
        <v>王勇</v>
      </c>
      <c r="B1009" s="4" t="str">
        <f>"5860406020508"</f>
        <v>5860406020508</v>
      </c>
      <c r="C1009" s="4" t="str">
        <f t="shared" si="44"/>
        <v>600072</v>
      </c>
      <c r="D1009" s="5">
        <v>77</v>
      </c>
    </row>
    <row r="1010" spans="1:4" s="7" customFormat="1" ht="23.25" customHeight="1">
      <c r="A1010" s="4" t="str">
        <f>"李珂薇"</f>
        <v>李珂薇</v>
      </c>
      <c r="B1010" s="4" t="str">
        <f>"5860406020516"</f>
        <v>5860406020516</v>
      </c>
      <c r="C1010" s="4" t="str">
        <f t="shared" si="44"/>
        <v>600072</v>
      </c>
      <c r="D1010" s="5">
        <v>83.33</v>
      </c>
    </row>
    <row r="1011" spans="1:4" s="7" customFormat="1" ht="23.25" customHeight="1">
      <c r="A1011" s="4" t="str">
        <f>"黄丹"</f>
        <v>黄丹</v>
      </c>
      <c r="B1011" s="4" t="str">
        <f>"5860406020617"</f>
        <v>5860406020617</v>
      </c>
      <c r="C1011" s="4" t="str">
        <f t="shared" si="44"/>
        <v>600072</v>
      </c>
      <c r="D1011" s="5">
        <v>83</v>
      </c>
    </row>
    <row r="1012" spans="1:4" s="7" customFormat="1" ht="23.25" customHeight="1">
      <c r="A1012" s="4" t="str">
        <f>"陈婧娴"</f>
        <v>陈婧娴</v>
      </c>
      <c r="B1012" s="4" t="str">
        <f>"5860406020625"</f>
        <v>5860406020625</v>
      </c>
      <c r="C1012" s="4" t="str">
        <f t="shared" si="44"/>
        <v>600072</v>
      </c>
      <c r="D1012" s="5">
        <v>82</v>
      </c>
    </row>
    <row r="1013" spans="1:4" s="7" customFormat="1" ht="23.25" customHeight="1">
      <c r="A1013" s="4" t="str">
        <f>"谭晓"</f>
        <v>谭晓</v>
      </c>
      <c r="B1013" s="4" t="str">
        <f>"5860406020708"</f>
        <v>5860406020708</v>
      </c>
      <c r="C1013" s="4" t="str">
        <f t="shared" si="44"/>
        <v>600072</v>
      </c>
      <c r="D1013" s="5">
        <v>73.67</v>
      </c>
    </row>
    <row r="1014" spans="1:4" s="7" customFormat="1" ht="23.25" customHeight="1">
      <c r="A1014" s="4" t="str">
        <f>"楚冬梅"</f>
        <v>楚冬梅</v>
      </c>
      <c r="B1014" s="4" t="str">
        <f>"5860406020722"</f>
        <v>5860406020722</v>
      </c>
      <c r="C1014" s="4" t="str">
        <f t="shared" si="44"/>
        <v>600072</v>
      </c>
      <c r="D1014" s="5">
        <v>78.33</v>
      </c>
    </row>
    <row r="1015" spans="1:4" s="7" customFormat="1" ht="23.25" customHeight="1">
      <c r="A1015" s="4" t="str">
        <f>"许沙沙"</f>
        <v>许沙沙</v>
      </c>
      <c r="B1015" s="4" t="str">
        <f>"5860406020521"</f>
        <v>5860406020521</v>
      </c>
      <c r="C1015" s="4" t="str">
        <f t="shared" si="44"/>
        <v>600072</v>
      </c>
      <c r="D1015" s="5">
        <v>86</v>
      </c>
    </row>
    <row r="1016" spans="1:4" s="7" customFormat="1" ht="23.25" customHeight="1">
      <c r="A1016" s="4" t="str">
        <f>"李尚瑗"</f>
        <v>李尚瑗</v>
      </c>
      <c r="B1016" s="4" t="str">
        <f>"5860406020528"</f>
        <v>5860406020528</v>
      </c>
      <c r="C1016" s="4" t="str">
        <f t="shared" si="44"/>
        <v>600072</v>
      </c>
      <c r="D1016" s="5">
        <v>81.67</v>
      </c>
    </row>
    <row r="1017" spans="1:4" s="7" customFormat="1" ht="23.25" customHeight="1">
      <c r="A1017" s="4" t="str">
        <f>"颜娇娇"</f>
        <v>颜娇娇</v>
      </c>
      <c r="B1017" s="4" t="str">
        <f>"5860406020612"</f>
        <v>5860406020612</v>
      </c>
      <c r="C1017" s="4" t="str">
        <f t="shared" si="44"/>
        <v>600072</v>
      </c>
      <c r="D1017" s="5">
        <v>80.33</v>
      </c>
    </row>
    <row r="1018" spans="1:4" s="7" customFormat="1" ht="23.25" customHeight="1">
      <c r="A1018" s="4" t="str">
        <f>"雷欢"</f>
        <v>雷欢</v>
      </c>
      <c r="B1018" s="4" t="str">
        <f>"5860406020628"</f>
        <v>5860406020628</v>
      </c>
      <c r="C1018" s="4" t="str">
        <f t="shared" si="44"/>
        <v>600072</v>
      </c>
      <c r="D1018" s="5">
        <v>78.67</v>
      </c>
    </row>
    <row r="1019" spans="1:4" s="7" customFormat="1" ht="23.25" customHeight="1">
      <c r="A1019" s="4" t="str">
        <f>"朱艳"</f>
        <v>朱艳</v>
      </c>
      <c r="B1019" s="4" t="str">
        <f>"5860406020707"</f>
        <v>5860406020707</v>
      </c>
      <c r="C1019" s="4" t="str">
        <f t="shared" si="44"/>
        <v>600072</v>
      </c>
      <c r="D1019" s="5" t="s">
        <v>36</v>
      </c>
    </row>
    <row r="1020" spans="1:4" s="7" customFormat="1" ht="23.25" customHeight="1">
      <c r="A1020" s="4" t="str">
        <f>"袁西川"</f>
        <v>袁西川</v>
      </c>
      <c r="B1020" s="4" t="str">
        <f>"5860406020718"</f>
        <v>5860406020718</v>
      </c>
      <c r="C1020" s="4" t="str">
        <f t="shared" si="44"/>
        <v>600072</v>
      </c>
      <c r="D1020" s="5">
        <v>82.33</v>
      </c>
    </row>
    <row r="1021" spans="1:4" s="7" customFormat="1" ht="23.25" customHeight="1">
      <c r="A1021" s="4" t="str">
        <f>"王玥"</f>
        <v>王玥</v>
      </c>
      <c r="B1021" s="4" t="str">
        <f>"5860406020728"</f>
        <v>5860406020728</v>
      </c>
      <c r="C1021" s="4" t="str">
        <f aca="true" t="shared" si="45" ref="C1021:C1057">"600073"</f>
        <v>600073</v>
      </c>
      <c r="D1021" s="5">
        <v>80.33</v>
      </c>
    </row>
    <row r="1022" spans="1:4" s="7" customFormat="1" ht="23.25" customHeight="1">
      <c r="A1022" s="4" t="str">
        <f>"陈秋兰"</f>
        <v>陈秋兰</v>
      </c>
      <c r="B1022" s="4" t="str">
        <f>"5860406020903"</f>
        <v>5860406020903</v>
      </c>
      <c r="C1022" s="4" t="str">
        <f t="shared" si="45"/>
        <v>600073</v>
      </c>
      <c r="D1022" s="5">
        <v>81.33</v>
      </c>
    </row>
    <row r="1023" spans="1:4" s="7" customFormat="1" ht="23.25" customHeight="1">
      <c r="A1023" s="4" t="str">
        <f>"周颖权"</f>
        <v>周颖权</v>
      </c>
      <c r="B1023" s="4" t="str">
        <f>"5860406020726"</f>
        <v>5860406020726</v>
      </c>
      <c r="C1023" s="4" t="str">
        <f t="shared" si="45"/>
        <v>600073</v>
      </c>
      <c r="D1023" s="5">
        <v>81.33</v>
      </c>
    </row>
    <row r="1024" spans="1:4" s="7" customFormat="1" ht="23.25" customHeight="1">
      <c r="A1024" s="4" t="str">
        <f>"杜莹"</f>
        <v>杜莹</v>
      </c>
      <c r="B1024" s="4" t="str">
        <f>"5860406020810"</f>
        <v>5860406020810</v>
      </c>
      <c r="C1024" s="4" t="str">
        <f t="shared" si="45"/>
        <v>600073</v>
      </c>
      <c r="D1024" s="5">
        <v>82.33</v>
      </c>
    </row>
    <row r="1025" spans="1:4" s="7" customFormat="1" ht="23.25" customHeight="1">
      <c r="A1025" s="4" t="str">
        <f>"李娟"</f>
        <v>李娟</v>
      </c>
      <c r="B1025" s="4" t="str">
        <f>"5860406020804"</f>
        <v>5860406020804</v>
      </c>
      <c r="C1025" s="4" t="str">
        <f t="shared" si="45"/>
        <v>600073</v>
      </c>
      <c r="D1025" s="5">
        <v>80.33</v>
      </c>
    </row>
    <row r="1026" spans="1:4" s="7" customFormat="1" ht="23.25" customHeight="1">
      <c r="A1026" s="4" t="str">
        <f>"尹礼玲"</f>
        <v>尹礼玲</v>
      </c>
      <c r="B1026" s="4" t="str">
        <f>"5860406020805"</f>
        <v>5860406020805</v>
      </c>
      <c r="C1026" s="4" t="str">
        <f t="shared" si="45"/>
        <v>600073</v>
      </c>
      <c r="D1026" s="5">
        <v>79</v>
      </c>
    </row>
    <row r="1027" spans="1:4" s="7" customFormat="1" ht="23.25" customHeight="1">
      <c r="A1027" s="4" t="str">
        <f>"王海凤"</f>
        <v>王海凤</v>
      </c>
      <c r="B1027" s="4" t="str">
        <f>"5860406020905"</f>
        <v>5860406020905</v>
      </c>
      <c r="C1027" s="4" t="str">
        <f t="shared" si="45"/>
        <v>600073</v>
      </c>
      <c r="D1027" s="5">
        <v>80</v>
      </c>
    </row>
    <row r="1028" spans="1:4" s="7" customFormat="1" ht="23.25" customHeight="1">
      <c r="A1028" s="4" t="str">
        <f>"潘虹旭"</f>
        <v>潘虹旭</v>
      </c>
      <c r="B1028" s="4" t="str">
        <f>"5860406020813"</f>
        <v>5860406020813</v>
      </c>
      <c r="C1028" s="4" t="str">
        <f t="shared" si="45"/>
        <v>600073</v>
      </c>
      <c r="D1028" s="5">
        <v>77.33</v>
      </c>
    </row>
    <row r="1029" spans="1:4" s="7" customFormat="1" ht="23.25" customHeight="1">
      <c r="A1029" s="4" t="str">
        <f>"王苗"</f>
        <v>王苗</v>
      </c>
      <c r="B1029" s="4" t="str">
        <f>"5860406020823"</f>
        <v>5860406020823</v>
      </c>
      <c r="C1029" s="4" t="str">
        <f t="shared" si="45"/>
        <v>600073</v>
      </c>
      <c r="D1029" s="5">
        <v>84.33</v>
      </c>
    </row>
    <row r="1030" spans="1:4" s="7" customFormat="1" ht="23.25" customHeight="1">
      <c r="A1030" s="4" t="str">
        <f>"唐小燕"</f>
        <v>唐小燕</v>
      </c>
      <c r="B1030" s="4" t="str">
        <f>"5860406020922"</f>
        <v>5860406020922</v>
      </c>
      <c r="C1030" s="4" t="str">
        <f t="shared" si="45"/>
        <v>600073</v>
      </c>
      <c r="D1030" s="5">
        <v>80.33</v>
      </c>
    </row>
    <row r="1031" spans="1:4" s="7" customFormat="1" ht="23.25" customHeight="1">
      <c r="A1031" s="4" t="str">
        <f>"刘玉环"</f>
        <v>刘玉环</v>
      </c>
      <c r="B1031" s="4" t="str">
        <f>"5860406020926"</f>
        <v>5860406020926</v>
      </c>
      <c r="C1031" s="4" t="str">
        <f t="shared" si="45"/>
        <v>600073</v>
      </c>
      <c r="D1031" s="5">
        <v>79</v>
      </c>
    </row>
    <row r="1032" spans="1:4" s="7" customFormat="1" ht="23.25" customHeight="1">
      <c r="A1032" s="4" t="str">
        <f>"洪蕊"</f>
        <v>洪蕊</v>
      </c>
      <c r="B1032" s="4" t="str">
        <f>"5860406020727"</f>
        <v>5860406020727</v>
      </c>
      <c r="C1032" s="4" t="str">
        <f t="shared" si="45"/>
        <v>600073</v>
      </c>
      <c r="D1032" s="5">
        <v>80.67</v>
      </c>
    </row>
    <row r="1033" spans="1:4" s="7" customFormat="1" ht="23.25" customHeight="1">
      <c r="A1033" s="4" t="str">
        <f>"邓兆宇"</f>
        <v>邓兆宇</v>
      </c>
      <c r="B1033" s="4" t="str">
        <f>"5860406020906"</f>
        <v>5860406020906</v>
      </c>
      <c r="C1033" s="4" t="str">
        <f t="shared" si="45"/>
        <v>600073</v>
      </c>
      <c r="D1033" s="5">
        <v>83.67</v>
      </c>
    </row>
    <row r="1034" spans="1:4" s="7" customFormat="1" ht="23.25" customHeight="1">
      <c r="A1034" s="4" t="str">
        <f>"陈雪"</f>
        <v>陈雪</v>
      </c>
      <c r="B1034" s="4" t="str">
        <f>"5860406020802"</f>
        <v>5860406020802</v>
      </c>
      <c r="C1034" s="4" t="str">
        <f t="shared" si="45"/>
        <v>600073</v>
      </c>
      <c r="D1034" s="5">
        <v>81</v>
      </c>
    </row>
    <row r="1035" spans="1:4" s="7" customFormat="1" ht="23.25" customHeight="1">
      <c r="A1035" s="4" t="str">
        <f>"肖雯雯"</f>
        <v>肖雯雯</v>
      </c>
      <c r="B1035" s="4" t="str">
        <f>"5860406020814"</f>
        <v>5860406020814</v>
      </c>
      <c r="C1035" s="4" t="str">
        <f t="shared" si="45"/>
        <v>600073</v>
      </c>
      <c r="D1035" s="5">
        <v>82</v>
      </c>
    </row>
    <row r="1036" spans="1:4" s="7" customFormat="1" ht="23.25" customHeight="1">
      <c r="A1036" s="4" t="str">
        <f>"孟良足"</f>
        <v>孟良足</v>
      </c>
      <c r="B1036" s="4" t="str">
        <f>"5860406020928"</f>
        <v>5860406020928</v>
      </c>
      <c r="C1036" s="4" t="str">
        <f t="shared" si="45"/>
        <v>600073</v>
      </c>
      <c r="D1036" s="5">
        <v>84.33</v>
      </c>
    </row>
    <row r="1037" spans="1:4" s="7" customFormat="1" ht="23.25" customHeight="1">
      <c r="A1037" s="4" t="str">
        <f>"孟秋燕"</f>
        <v>孟秋燕</v>
      </c>
      <c r="B1037" s="4" t="str">
        <f>"5860406020904"</f>
        <v>5860406020904</v>
      </c>
      <c r="C1037" s="4" t="str">
        <f t="shared" si="45"/>
        <v>600073</v>
      </c>
      <c r="D1037" s="5">
        <v>76</v>
      </c>
    </row>
    <row r="1038" spans="1:4" s="7" customFormat="1" ht="23.25" customHeight="1">
      <c r="A1038" s="4" t="str">
        <f>"李亚"</f>
        <v>李亚</v>
      </c>
      <c r="B1038" s="4" t="str">
        <f>"5860406020913"</f>
        <v>5860406020913</v>
      </c>
      <c r="C1038" s="4" t="str">
        <f t="shared" si="45"/>
        <v>600073</v>
      </c>
      <c r="D1038" s="5">
        <v>80.67</v>
      </c>
    </row>
    <row r="1039" spans="1:4" s="7" customFormat="1" ht="23.25" customHeight="1">
      <c r="A1039" s="4" t="str">
        <f>"谭林"</f>
        <v>谭林</v>
      </c>
      <c r="B1039" s="4" t="str">
        <f>"5860406020925"</f>
        <v>5860406020925</v>
      </c>
      <c r="C1039" s="4" t="str">
        <f t="shared" si="45"/>
        <v>600073</v>
      </c>
      <c r="D1039" s="5">
        <v>69</v>
      </c>
    </row>
    <row r="1040" spans="1:4" s="7" customFormat="1" ht="23.25" customHeight="1">
      <c r="A1040" s="4" t="str">
        <f>"顾兴佳"</f>
        <v>顾兴佳</v>
      </c>
      <c r="B1040" s="4" t="str">
        <f>"5860406020829"</f>
        <v>5860406020829</v>
      </c>
      <c r="C1040" s="4" t="str">
        <f t="shared" si="45"/>
        <v>600073</v>
      </c>
      <c r="D1040" s="5">
        <v>80.67</v>
      </c>
    </row>
    <row r="1041" spans="1:4" s="7" customFormat="1" ht="23.25" customHeight="1">
      <c r="A1041" s="4" t="str">
        <f>"卢红林"</f>
        <v>卢红林</v>
      </c>
      <c r="B1041" s="4" t="str">
        <f>"5860406020916"</f>
        <v>5860406020916</v>
      </c>
      <c r="C1041" s="4" t="str">
        <f t="shared" si="45"/>
        <v>600073</v>
      </c>
      <c r="D1041" s="5">
        <v>81.33</v>
      </c>
    </row>
    <row r="1042" spans="1:4" s="7" customFormat="1" ht="23.25" customHeight="1">
      <c r="A1042" s="4" t="str">
        <f>"羊程玲"</f>
        <v>羊程玲</v>
      </c>
      <c r="B1042" s="4" t="str">
        <f>"5860406020929"</f>
        <v>5860406020929</v>
      </c>
      <c r="C1042" s="4" t="str">
        <f t="shared" si="45"/>
        <v>600073</v>
      </c>
      <c r="D1042" s="5">
        <v>80.33</v>
      </c>
    </row>
    <row r="1043" spans="1:4" s="7" customFormat="1" ht="23.25" customHeight="1">
      <c r="A1043" s="4" t="str">
        <f>"刘云霞"</f>
        <v>刘云霞</v>
      </c>
      <c r="B1043" s="4" t="str">
        <f>"5860406020815"</f>
        <v>5860406020815</v>
      </c>
      <c r="C1043" s="4" t="str">
        <f t="shared" si="45"/>
        <v>600073</v>
      </c>
      <c r="D1043" s="5">
        <v>77.67</v>
      </c>
    </row>
    <row r="1044" spans="1:4" s="7" customFormat="1" ht="23.25" customHeight="1">
      <c r="A1044" s="4" t="str">
        <f>"赵海丽"</f>
        <v>赵海丽</v>
      </c>
      <c r="B1044" s="4" t="str">
        <f>"5860406020730"</f>
        <v>5860406020730</v>
      </c>
      <c r="C1044" s="4" t="str">
        <f t="shared" si="45"/>
        <v>600073</v>
      </c>
      <c r="D1044" s="5">
        <v>79</v>
      </c>
    </row>
    <row r="1045" spans="1:4" s="7" customFormat="1" ht="23.25" customHeight="1">
      <c r="A1045" s="4" t="str">
        <f>"杨娇娇"</f>
        <v>杨娇娇</v>
      </c>
      <c r="B1045" s="4" t="str">
        <f>"5860406020801"</f>
        <v>5860406020801</v>
      </c>
      <c r="C1045" s="4" t="str">
        <f t="shared" si="45"/>
        <v>600073</v>
      </c>
      <c r="D1045" s="5">
        <v>80</v>
      </c>
    </row>
    <row r="1046" spans="1:4" s="7" customFormat="1" ht="23.25" customHeight="1">
      <c r="A1046" s="4" t="str">
        <f>"李春燕"</f>
        <v>李春燕</v>
      </c>
      <c r="B1046" s="4" t="str">
        <f>"5860406020803"</f>
        <v>5860406020803</v>
      </c>
      <c r="C1046" s="4" t="str">
        <f t="shared" si="45"/>
        <v>600073</v>
      </c>
      <c r="D1046" s="5" t="s">
        <v>36</v>
      </c>
    </row>
    <row r="1047" spans="1:4" s="7" customFormat="1" ht="23.25" customHeight="1">
      <c r="A1047" s="4" t="str">
        <f>"龙辉"</f>
        <v>龙辉</v>
      </c>
      <c r="B1047" s="4" t="str">
        <f>"5860406020907"</f>
        <v>5860406020907</v>
      </c>
      <c r="C1047" s="4" t="str">
        <f t="shared" si="45"/>
        <v>600073</v>
      </c>
      <c r="D1047" s="5">
        <v>82.33</v>
      </c>
    </row>
    <row r="1048" spans="1:4" s="7" customFormat="1" ht="23.25" customHeight="1">
      <c r="A1048" s="4" t="str">
        <f>"李秋华"</f>
        <v>李秋华</v>
      </c>
      <c r="B1048" s="4" t="str">
        <f>"5860406020921"</f>
        <v>5860406020921</v>
      </c>
      <c r="C1048" s="4" t="str">
        <f t="shared" si="45"/>
        <v>600073</v>
      </c>
      <c r="D1048" s="5">
        <v>78.33</v>
      </c>
    </row>
    <row r="1049" spans="1:4" s="7" customFormat="1" ht="23.25" customHeight="1">
      <c r="A1049" s="4" t="str">
        <f>"张代凤"</f>
        <v>张代凤</v>
      </c>
      <c r="B1049" s="4" t="str">
        <f>"5860406021001"</f>
        <v>5860406021001</v>
      </c>
      <c r="C1049" s="4" t="str">
        <f t="shared" si="45"/>
        <v>600073</v>
      </c>
      <c r="D1049" s="5">
        <v>86</v>
      </c>
    </row>
    <row r="1050" spans="1:4" s="7" customFormat="1" ht="23.25" customHeight="1">
      <c r="A1050" s="4" t="str">
        <f>"杨媛平"</f>
        <v>杨媛平</v>
      </c>
      <c r="B1050" s="4" t="str">
        <f>"5860406021004"</f>
        <v>5860406021004</v>
      </c>
      <c r="C1050" s="4" t="str">
        <f t="shared" si="45"/>
        <v>600073</v>
      </c>
      <c r="D1050" s="5">
        <v>82</v>
      </c>
    </row>
    <row r="1051" spans="1:4" s="7" customFormat="1" ht="23.25" customHeight="1">
      <c r="A1051" s="4" t="str">
        <f>"周龙慧"</f>
        <v>周龙慧</v>
      </c>
      <c r="B1051" s="4" t="str">
        <f>"5860406020809"</f>
        <v>5860406020809</v>
      </c>
      <c r="C1051" s="4" t="str">
        <f t="shared" si="45"/>
        <v>600073</v>
      </c>
      <c r="D1051" s="5">
        <v>79.67</v>
      </c>
    </row>
    <row r="1052" spans="1:4" s="7" customFormat="1" ht="23.25" customHeight="1">
      <c r="A1052" s="4" t="str">
        <f>"蒋昕珂"</f>
        <v>蒋昕珂</v>
      </c>
      <c r="B1052" s="4" t="str">
        <f>"5860406020817"</f>
        <v>5860406020817</v>
      </c>
      <c r="C1052" s="4" t="str">
        <f t="shared" si="45"/>
        <v>600073</v>
      </c>
      <c r="D1052" s="5">
        <v>80.67</v>
      </c>
    </row>
    <row r="1053" spans="1:4" s="7" customFormat="1" ht="23.25" customHeight="1">
      <c r="A1053" s="4" t="str">
        <f>"李松梅"</f>
        <v>李松梅</v>
      </c>
      <c r="B1053" s="4" t="str">
        <f>"5860406020826"</f>
        <v>5860406020826</v>
      </c>
      <c r="C1053" s="4" t="str">
        <f t="shared" si="45"/>
        <v>600073</v>
      </c>
      <c r="D1053" s="5">
        <v>79.33</v>
      </c>
    </row>
    <row r="1054" spans="1:4" s="7" customFormat="1" ht="23.25" customHeight="1">
      <c r="A1054" s="4" t="str">
        <f>"王晨晨"</f>
        <v>王晨晨</v>
      </c>
      <c r="B1054" s="4" t="str">
        <f>"5860406020827"</f>
        <v>5860406020827</v>
      </c>
      <c r="C1054" s="4" t="str">
        <f t="shared" si="45"/>
        <v>600073</v>
      </c>
      <c r="D1054" s="5">
        <v>80.67</v>
      </c>
    </row>
    <row r="1055" spans="1:4" s="7" customFormat="1" ht="23.25" customHeight="1">
      <c r="A1055" s="4" t="str">
        <f>"曾庆艳"</f>
        <v>曾庆艳</v>
      </c>
      <c r="B1055" s="4" t="str">
        <f>"5860406020901"</f>
        <v>5860406020901</v>
      </c>
      <c r="C1055" s="4" t="str">
        <f t="shared" si="45"/>
        <v>600073</v>
      </c>
      <c r="D1055" s="5">
        <v>81</v>
      </c>
    </row>
    <row r="1056" spans="1:4" s="7" customFormat="1" ht="23.25" customHeight="1">
      <c r="A1056" s="4" t="str">
        <f>"石利娟"</f>
        <v>石利娟</v>
      </c>
      <c r="B1056" s="4" t="str">
        <f>"5860406020825"</f>
        <v>5860406020825</v>
      </c>
      <c r="C1056" s="4" t="str">
        <f t="shared" si="45"/>
        <v>600073</v>
      </c>
      <c r="D1056" s="5">
        <v>78.67</v>
      </c>
    </row>
    <row r="1057" spans="1:4" s="7" customFormat="1" ht="23.25" customHeight="1">
      <c r="A1057" s="4" t="str">
        <f>"李清明"</f>
        <v>李清明</v>
      </c>
      <c r="B1057" s="4" t="str">
        <f>"5860406020902"</f>
        <v>5860406020902</v>
      </c>
      <c r="C1057" s="4" t="str">
        <f t="shared" si="45"/>
        <v>600073</v>
      </c>
      <c r="D1057" s="5">
        <v>70.67</v>
      </c>
    </row>
    <row r="1058" spans="1:4" s="7" customFormat="1" ht="23.25" customHeight="1">
      <c r="A1058" s="4" t="str">
        <f>"王义梅"</f>
        <v>王义梅</v>
      </c>
      <c r="B1058" s="4" t="str">
        <f>"5860406021215"</f>
        <v>5860406021215</v>
      </c>
      <c r="C1058" s="4" t="str">
        <f aca="true" t="shared" si="46" ref="C1058:C1090">"600075"</f>
        <v>600075</v>
      </c>
      <c r="D1058" s="5">
        <v>75.67</v>
      </c>
    </row>
    <row r="1059" spans="1:4" s="7" customFormat="1" ht="23.25" customHeight="1">
      <c r="A1059" s="4" t="str">
        <f>"甘艳艳"</f>
        <v>甘艳艳</v>
      </c>
      <c r="B1059" s="4" t="str">
        <f>"5860406021108"</f>
        <v>5860406021108</v>
      </c>
      <c r="C1059" s="4" t="str">
        <f t="shared" si="46"/>
        <v>600075</v>
      </c>
      <c r="D1059" s="5">
        <v>74.67</v>
      </c>
    </row>
    <row r="1060" spans="1:4" s="7" customFormat="1" ht="23.25" customHeight="1">
      <c r="A1060" s="4" t="str">
        <f>"张孟"</f>
        <v>张孟</v>
      </c>
      <c r="B1060" s="4" t="str">
        <f>"5860406021204"</f>
        <v>5860406021204</v>
      </c>
      <c r="C1060" s="4" t="str">
        <f t="shared" si="46"/>
        <v>600075</v>
      </c>
      <c r="D1060" s="5">
        <v>81.67</v>
      </c>
    </row>
    <row r="1061" spans="1:4" s="7" customFormat="1" ht="23.25" customHeight="1">
      <c r="A1061" s="4" t="str">
        <f>"胡亚宁"</f>
        <v>胡亚宁</v>
      </c>
      <c r="B1061" s="4" t="str">
        <f>"5860406021110"</f>
        <v>5860406021110</v>
      </c>
      <c r="C1061" s="4" t="str">
        <f t="shared" si="46"/>
        <v>600075</v>
      </c>
      <c r="D1061" s="5">
        <v>83</v>
      </c>
    </row>
    <row r="1062" spans="1:4" s="7" customFormat="1" ht="23.25" customHeight="1">
      <c r="A1062" s="4" t="str">
        <f>"刘莎莎"</f>
        <v>刘莎莎</v>
      </c>
      <c r="B1062" s="4" t="str">
        <f>"5860406021202"</f>
        <v>5860406021202</v>
      </c>
      <c r="C1062" s="4" t="str">
        <f t="shared" si="46"/>
        <v>600075</v>
      </c>
      <c r="D1062" s="5">
        <v>74.67</v>
      </c>
    </row>
    <row r="1063" spans="1:4" s="7" customFormat="1" ht="23.25" customHeight="1">
      <c r="A1063" s="4" t="str">
        <f>"谭丹"</f>
        <v>谭丹</v>
      </c>
      <c r="B1063" s="4" t="str">
        <f>"5860406021203"</f>
        <v>5860406021203</v>
      </c>
      <c r="C1063" s="4" t="str">
        <f t="shared" si="46"/>
        <v>600075</v>
      </c>
      <c r="D1063" s="5">
        <v>82.33</v>
      </c>
    </row>
    <row r="1064" spans="1:4" s="7" customFormat="1" ht="23.25" customHeight="1">
      <c r="A1064" s="4" t="str">
        <f>"杨炀"</f>
        <v>杨炀</v>
      </c>
      <c r="B1064" s="4" t="str">
        <f>"5860406021115"</f>
        <v>5860406021115</v>
      </c>
      <c r="C1064" s="4" t="str">
        <f t="shared" si="46"/>
        <v>600075</v>
      </c>
      <c r="D1064" s="5">
        <v>78.33</v>
      </c>
    </row>
    <row r="1065" spans="1:4" s="7" customFormat="1" ht="23.25" customHeight="1">
      <c r="A1065" s="4" t="str">
        <f>"张李梓楠"</f>
        <v>张李梓楠</v>
      </c>
      <c r="B1065" s="4" t="str">
        <f>"5860406021111"</f>
        <v>5860406021111</v>
      </c>
      <c r="C1065" s="4" t="str">
        <f t="shared" si="46"/>
        <v>600075</v>
      </c>
      <c r="D1065" s="5">
        <v>75.67</v>
      </c>
    </row>
    <row r="1066" spans="1:4" s="7" customFormat="1" ht="23.25" customHeight="1">
      <c r="A1066" s="4" t="str">
        <f>"罗雁"</f>
        <v>罗雁</v>
      </c>
      <c r="B1066" s="4" t="str">
        <f>"5860406021208"</f>
        <v>5860406021208</v>
      </c>
      <c r="C1066" s="4" t="str">
        <f t="shared" si="46"/>
        <v>600075</v>
      </c>
      <c r="D1066" s="5">
        <v>77.33</v>
      </c>
    </row>
    <row r="1067" spans="1:4" s="7" customFormat="1" ht="23.25" customHeight="1">
      <c r="A1067" s="4" t="str">
        <f>"张真豪"</f>
        <v>张真豪</v>
      </c>
      <c r="B1067" s="4" t="str">
        <f>"5860406021211"</f>
        <v>5860406021211</v>
      </c>
      <c r="C1067" s="4" t="str">
        <f t="shared" si="46"/>
        <v>600075</v>
      </c>
      <c r="D1067" s="5">
        <v>78</v>
      </c>
    </row>
    <row r="1068" spans="1:4" s="7" customFormat="1" ht="23.25" customHeight="1">
      <c r="A1068" s="4" t="str">
        <f>"胡忠珍"</f>
        <v>胡忠珍</v>
      </c>
      <c r="B1068" s="4" t="str">
        <f>"5860406021214"</f>
        <v>5860406021214</v>
      </c>
      <c r="C1068" s="4" t="str">
        <f t="shared" si="46"/>
        <v>600075</v>
      </c>
      <c r="D1068" s="5">
        <v>73.33</v>
      </c>
    </row>
    <row r="1069" spans="1:4" s="7" customFormat="1" ht="23.25" customHeight="1">
      <c r="A1069" s="4" t="str">
        <f>"吴志强"</f>
        <v>吴志强</v>
      </c>
      <c r="B1069" s="4" t="str">
        <f>"5860406021113"</f>
        <v>5860406021113</v>
      </c>
      <c r="C1069" s="4" t="str">
        <f t="shared" si="46"/>
        <v>600075</v>
      </c>
      <c r="D1069" s="5">
        <v>79</v>
      </c>
    </row>
    <row r="1070" spans="1:4" s="7" customFormat="1" ht="23.25" customHeight="1">
      <c r="A1070" s="4" t="str">
        <f>"杨洋"</f>
        <v>杨洋</v>
      </c>
      <c r="B1070" s="4" t="str">
        <f>"5860406021117"</f>
        <v>5860406021117</v>
      </c>
      <c r="C1070" s="4" t="str">
        <f t="shared" si="46"/>
        <v>600075</v>
      </c>
      <c r="D1070" s="5">
        <v>84.33</v>
      </c>
    </row>
    <row r="1071" spans="1:4" s="7" customFormat="1" ht="23.25" customHeight="1">
      <c r="A1071" s="4" t="str">
        <f>"谭姗姗"</f>
        <v>谭姗姗</v>
      </c>
      <c r="B1071" s="4" t="str">
        <f>"5860406021123"</f>
        <v>5860406021123</v>
      </c>
      <c r="C1071" s="4" t="str">
        <f t="shared" si="46"/>
        <v>600075</v>
      </c>
      <c r="D1071" s="5">
        <v>69.33</v>
      </c>
    </row>
    <row r="1072" spans="1:4" s="7" customFormat="1" ht="23.25" customHeight="1">
      <c r="A1072" s="4" t="str">
        <f>"唐贵慧"</f>
        <v>唐贵慧</v>
      </c>
      <c r="B1072" s="4" t="str">
        <f>"5860406021112"</f>
        <v>5860406021112</v>
      </c>
      <c r="C1072" s="4" t="str">
        <f t="shared" si="46"/>
        <v>600075</v>
      </c>
      <c r="D1072" s="5">
        <v>78.67</v>
      </c>
    </row>
    <row r="1073" spans="1:4" s="7" customFormat="1" ht="23.25" customHeight="1">
      <c r="A1073" s="4" t="str">
        <f>"鹿雯熙"</f>
        <v>鹿雯熙</v>
      </c>
      <c r="B1073" s="4" t="str">
        <f>"5860406021120"</f>
        <v>5860406021120</v>
      </c>
      <c r="C1073" s="4" t="str">
        <f t="shared" si="46"/>
        <v>600075</v>
      </c>
      <c r="D1073" s="5">
        <v>77.67</v>
      </c>
    </row>
    <row r="1074" spans="1:4" s="7" customFormat="1" ht="23.25" customHeight="1">
      <c r="A1074" s="4" t="str">
        <f>"李姿萱"</f>
        <v>李姿萱</v>
      </c>
      <c r="B1074" s="4" t="str">
        <f>"5860406021213"</f>
        <v>5860406021213</v>
      </c>
      <c r="C1074" s="4" t="str">
        <f t="shared" si="46"/>
        <v>600075</v>
      </c>
      <c r="D1074" s="5">
        <v>83.33</v>
      </c>
    </row>
    <row r="1075" spans="1:4" s="7" customFormat="1" ht="23.25" customHeight="1">
      <c r="A1075" s="4" t="str">
        <f>"王霞"</f>
        <v>王霞</v>
      </c>
      <c r="B1075" s="4" t="str">
        <f>"5860406021127"</f>
        <v>5860406021127</v>
      </c>
      <c r="C1075" s="4" t="str">
        <f t="shared" si="46"/>
        <v>600075</v>
      </c>
      <c r="D1075" s="5">
        <v>86</v>
      </c>
    </row>
    <row r="1076" spans="1:4" s="7" customFormat="1" ht="23.25" customHeight="1">
      <c r="A1076" s="4" t="str">
        <f>"文婷"</f>
        <v>文婷</v>
      </c>
      <c r="B1076" s="4" t="str">
        <f>"5860406021220"</f>
        <v>5860406021220</v>
      </c>
      <c r="C1076" s="4" t="str">
        <f t="shared" si="46"/>
        <v>600075</v>
      </c>
      <c r="D1076" s="5">
        <v>72</v>
      </c>
    </row>
    <row r="1077" spans="1:4" s="7" customFormat="1" ht="23.25" customHeight="1">
      <c r="A1077" s="4" t="str">
        <f>"黎华"</f>
        <v>黎华</v>
      </c>
      <c r="B1077" s="4" t="str">
        <f>"5860406021119"</f>
        <v>5860406021119</v>
      </c>
      <c r="C1077" s="4" t="str">
        <f t="shared" si="46"/>
        <v>600075</v>
      </c>
      <c r="D1077" s="5">
        <v>62.33</v>
      </c>
    </row>
    <row r="1078" spans="1:4" s="7" customFormat="1" ht="23.25" customHeight="1">
      <c r="A1078" s="4" t="str">
        <f>"张雪丹"</f>
        <v>张雪丹</v>
      </c>
      <c r="B1078" s="4" t="str">
        <f>"5860406021212"</f>
        <v>5860406021212</v>
      </c>
      <c r="C1078" s="4" t="str">
        <f t="shared" si="46"/>
        <v>600075</v>
      </c>
      <c r="D1078" s="5">
        <v>71.67</v>
      </c>
    </row>
    <row r="1079" spans="1:4" s="7" customFormat="1" ht="23.25" customHeight="1">
      <c r="A1079" s="4" t="str">
        <f>"张建堂"</f>
        <v>张建堂</v>
      </c>
      <c r="B1079" s="4" t="str">
        <f>"5860406021118"</f>
        <v>5860406021118</v>
      </c>
      <c r="C1079" s="4" t="str">
        <f t="shared" si="46"/>
        <v>600075</v>
      </c>
      <c r="D1079" s="5">
        <v>74.33</v>
      </c>
    </row>
    <row r="1080" spans="1:4" s="7" customFormat="1" ht="23.25" customHeight="1">
      <c r="A1080" s="4" t="str">
        <f>"肖雪"</f>
        <v>肖雪</v>
      </c>
      <c r="B1080" s="4" t="str">
        <f>"5860406021126"</f>
        <v>5860406021126</v>
      </c>
      <c r="C1080" s="4" t="str">
        <f t="shared" si="46"/>
        <v>600075</v>
      </c>
      <c r="D1080" s="5">
        <v>81.67</v>
      </c>
    </row>
    <row r="1081" spans="1:4" s="7" customFormat="1" ht="23.25" customHeight="1">
      <c r="A1081" s="4" t="str">
        <f>"李娟"</f>
        <v>李娟</v>
      </c>
      <c r="B1081" s="4" t="str">
        <f>"5860406021216"</f>
        <v>5860406021216</v>
      </c>
      <c r="C1081" s="4" t="str">
        <f t="shared" si="46"/>
        <v>600075</v>
      </c>
      <c r="D1081" s="5">
        <v>82.33</v>
      </c>
    </row>
    <row r="1082" spans="1:4" s="7" customFormat="1" ht="23.25" customHeight="1">
      <c r="A1082" s="4" t="str">
        <f>"兰芳"</f>
        <v>兰芳</v>
      </c>
      <c r="B1082" s="4" t="str">
        <f>"5860406021107"</f>
        <v>5860406021107</v>
      </c>
      <c r="C1082" s="4" t="str">
        <f t="shared" si="46"/>
        <v>600075</v>
      </c>
      <c r="D1082" s="5">
        <v>70.33</v>
      </c>
    </row>
    <row r="1083" spans="1:4" s="7" customFormat="1" ht="23.25" customHeight="1">
      <c r="A1083" s="4" t="str">
        <f>"廖秋月"</f>
        <v>廖秋月</v>
      </c>
      <c r="B1083" s="4" t="str">
        <f>"5860406021124"</f>
        <v>5860406021124</v>
      </c>
      <c r="C1083" s="4" t="str">
        <f t="shared" si="46"/>
        <v>600075</v>
      </c>
      <c r="D1083" s="5">
        <v>76.33</v>
      </c>
    </row>
    <row r="1084" spans="1:4" s="7" customFormat="1" ht="23.25" customHeight="1">
      <c r="A1084" s="4" t="str">
        <f>"廖容霞"</f>
        <v>廖容霞</v>
      </c>
      <c r="B1084" s="4" t="str">
        <f>"5860406021217"</f>
        <v>5860406021217</v>
      </c>
      <c r="C1084" s="4" t="str">
        <f t="shared" si="46"/>
        <v>600075</v>
      </c>
      <c r="D1084" s="5">
        <v>77.67</v>
      </c>
    </row>
    <row r="1085" spans="1:4" s="7" customFormat="1" ht="23.25" customHeight="1">
      <c r="A1085" s="4" t="str">
        <f>"夏灵莉"</f>
        <v>夏灵莉</v>
      </c>
      <c r="B1085" s="4" t="str">
        <f>"5860406021130"</f>
        <v>5860406021130</v>
      </c>
      <c r="C1085" s="4" t="str">
        <f t="shared" si="46"/>
        <v>600075</v>
      </c>
      <c r="D1085" s="5">
        <v>76.33</v>
      </c>
    </row>
    <row r="1086" spans="1:4" s="7" customFormat="1" ht="23.25" customHeight="1">
      <c r="A1086" s="4" t="str">
        <f>"杨雯雯"</f>
        <v>杨雯雯</v>
      </c>
      <c r="B1086" s="4" t="str">
        <f>"5860406021128"</f>
        <v>5860406021128</v>
      </c>
      <c r="C1086" s="4" t="str">
        <f t="shared" si="46"/>
        <v>600075</v>
      </c>
      <c r="D1086" s="5">
        <v>75</v>
      </c>
    </row>
    <row r="1087" spans="1:4" s="7" customFormat="1" ht="23.25" customHeight="1">
      <c r="A1087" s="4" t="str">
        <f>"舒璐"</f>
        <v>舒璐</v>
      </c>
      <c r="B1087" s="4" t="str">
        <f>"5860406021122"</f>
        <v>5860406021122</v>
      </c>
      <c r="C1087" s="4" t="str">
        <f t="shared" si="46"/>
        <v>600075</v>
      </c>
      <c r="D1087" s="5">
        <v>71.67</v>
      </c>
    </row>
    <row r="1088" spans="1:4" s="7" customFormat="1" ht="23.25" customHeight="1">
      <c r="A1088" s="4" t="str">
        <f>"蒋雨辛"</f>
        <v>蒋雨辛</v>
      </c>
      <c r="B1088" s="4" t="str">
        <f>"5860406021206"</f>
        <v>5860406021206</v>
      </c>
      <c r="C1088" s="4" t="str">
        <f t="shared" si="46"/>
        <v>600075</v>
      </c>
      <c r="D1088" s="5">
        <v>75.67</v>
      </c>
    </row>
    <row r="1089" spans="1:4" s="7" customFormat="1" ht="23.25" customHeight="1">
      <c r="A1089" s="4" t="str">
        <f>"刘廷廷"</f>
        <v>刘廷廷</v>
      </c>
      <c r="B1089" s="4" t="str">
        <f>"5860406021210"</f>
        <v>5860406021210</v>
      </c>
      <c r="C1089" s="4" t="str">
        <f t="shared" si="46"/>
        <v>600075</v>
      </c>
      <c r="D1089" s="5">
        <v>83.67</v>
      </c>
    </row>
    <row r="1090" spans="1:4" s="7" customFormat="1" ht="23.25" customHeight="1">
      <c r="A1090" s="4" t="str">
        <f>"王奕"</f>
        <v>王奕</v>
      </c>
      <c r="B1090" s="4" t="str">
        <f>"5860406021205"</f>
        <v>5860406021205</v>
      </c>
      <c r="C1090" s="4" t="str">
        <f t="shared" si="46"/>
        <v>600075</v>
      </c>
      <c r="D1090" s="5">
        <v>79.33</v>
      </c>
    </row>
    <row r="1091" spans="1:4" s="7" customFormat="1" ht="23.25" customHeight="1">
      <c r="A1091" s="4" t="str">
        <f>"顾芸"</f>
        <v>顾芸</v>
      </c>
      <c r="B1091" s="4" t="str">
        <f>"5860406021323"</f>
        <v>5860406021323</v>
      </c>
      <c r="C1091" s="4" t="str">
        <f aca="true" t="shared" si="47" ref="C1091:C1129">"600076"</f>
        <v>600076</v>
      </c>
      <c r="D1091" s="5">
        <v>88</v>
      </c>
    </row>
    <row r="1092" spans="1:4" s="7" customFormat="1" ht="23.25" customHeight="1">
      <c r="A1092" s="4" t="str">
        <f>"徐前芬"</f>
        <v>徐前芬</v>
      </c>
      <c r="B1092" s="4" t="str">
        <f>"5860406021301"</f>
        <v>5860406021301</v>
      </c>
      <c r="C1092" s="4" t="str">
        <f t="shared" si="47"/>
        <v>600076</v>
      </c>
      <c r="D1092" s="5">
        <v>87.67</v>
      </c>
    </row>
    <row r="1093" spans="1:4" s="7" customFormat="1" ht="23.25" customHeight="1">
      <c r="A1093" s="4" t="str">
        <f>"江欣"</f>
        <v>江欣</v>
      </c>
      <c r="B1093" s="4" t="str">
        <f>"5860406021305"</f>
        <v>5860406021305</v>
      </c>
      <c r="C1093" s="4" t="str">
        <f t="shared" si="47"/>
        <v>600076</v>
      </c>
      <c r="D1093" s="5">
        <v>83.17</v>
      </c>
    </row>
    <row r="1094" spans="1:4" s="7" customFormat="1" ht="23.25" customHeight="1">
      <c r="A1094" s="4" t="str">
        <f>"温霜霜"</f>
        <v>温霜霜</v>
      </c>
      <c r="B1094" s="4" t="str">
        <f>"5860406021310"</f>
        <v>5860406021310</v>
      </c>
      <c r="C1094" s="4" t="str">
        <f t="shared" si="47"/>
        <v>600076</v>
      </c>
      <c r="D1094" s="5">
        <v>84.83</v>
      </c>
    </row>
    <row r="1095" spans="1:4" s="7" customFormat="1" ht="23.25" customHeight="1">
      <c r="A1095" s="4" t="str">
        <f>"练培玲"</f>
        <v>练培玲</v>
      </c>
      <c r="B1095" s="4" t="str">
        <f>"5860406021326"</f>
        <v>5860406021326</v>
      </c>
      <c r="C1095" s="4" t="str">
        <f t="shared" si="47"/>
        <v>600076</v>
      </c>
      <c r="D1095" s="5">
        <v>84</v>
      </c>
    </row>
    <row r="1096" spans="1:4" s="7" customFormat="1" ht="23.25" customHeight="1">
      <c r="A1096" s="4" t="str">
        <f>"鲁睿"</f>
        <v>鲁睿</v>
      </c>
      <c r="B1096" s="4" t="str">
        <f>"5860406021419"</f>
        <v>5860406021419</v>
      </c>
      <c r="C1096" s="4" t="str">
        <f t="shared" si="47"/>
        <v>600076</v>
      </c>
      <c r="D1096" s="5">
        <v>82.33</v>
      </c>
    </row>
    <row r="1097" spans="1:4" s="7" customFormat="1" ht="23.25" customHeight="1">
      <c r="A1097" s="4" t="str">
        <f>"王强"</f>
        <v>王强</v>
      </c>
      <c r="B1097" s="4" t="str">
        <f>"5860406021308"</f>
        <v>5860406021308</v>
      </c>
      <c r="C1097" s="4" t="str">
        <f t="shared" si="47"/>
        <v>600076</v>
      </c>
      <c r="D1097" s="5" t="s">
        <v>36</v>
      </c>
    </row>
    <row r="1098" spans="1:4" s="7" customFormat="1" ht="23.25" customHeight="1">
      <c r="A1098" s="4" t="str">
        <f>"张波兰"</f>
        <v>张波兰</v>
      </c>
      <c r="B1098" s="4" t="str">
        <f>"5860406021504"</f>
        <v>5860406021504</v>
      </c>
      <c r="C1098" s="4" t="str">
        <f t="shared" si="47"/>
        <v>600076</v>
      </c>
      <c r="D1098" s="5">
        <v>87.17</v>
      </c>
    </row>
    <row r="1099" spans="1:4" s="7" customFormat="1" ht="23.25" customHeight="1">
      <c r="A1099" s="4" t="str">
        <f>"吴优"</f>
        <v>吴优</v>
      </c>
      <c r="B1099" s="4" t="str">
        <f>"5860406021225"</f>
        <v>5860406021225</v>
      </c>
      <c r="C1099" s="4" t="str">
        <f t="shared" si="47"/>
        <v>600076</v>
      </c>
      <c r="D1099" s="5">
        <v>88.77</v>
      </c>
    </row>
    <row r="1100" spans="1:4" s="7" customFormat="1" ht="23.25" customHeight="1">
      <c r="A1100" s="4" t="str">
        <f>"李玲"</f>
        <v>李玲</v>
      </c>
      <c r="B1100" s="4" t="str">
        <f>"5860406021401"</f>
        <v>5860406021401</v>
      </c>
      <c r="C1100" s="4" t="str">
        <f t="shared" si="47"/>
        <v>600076</v>
      </c>
      <c r="D1100" s="5">
        <v>85.57</v>
      </c>
    </row>
    <row r="1101" spans="1:4" s="7" customFormat="1" ht="23.25" customHeight="1">
      <c r="A1101" s="4" t="str">
        <f>"刘燕"</f>
        <v>刘燕</v>
      </c>
      <c r="B1101" s="4" t="str">
        <f>"5860406021420"</f>
        <v>5860406021420</v>
      </c>
      <c r="C1101" s="4" t="str">
        <f t="shared" si="47"/>
        <v>600076</v>
      </c>
      <c r="D1101" s="5">
        <v>85</v>
      </c>
    </row>
    <row r="1102" spans="1:4" s="7" customFormat="1" ht="23.25" customHeight="1">
      <c r="A1102" s="4" t="str">
        <f>"廖晓辉"</f>
        <v>廖晓辉</v>
      </c>
      <c r="B1102" s="4" t="str">
        <f>"5860406021505"</f>
        <v>5860406021505</v>
      </c>
      <c r="C1102" s="4" t="str">
        <f t="shared" si="47"/>
        <v>600076</v>
      </c>
      <c r="D1102" s="5">
        <v>85</v>
      </c>
    </row>
    <row r="1103" spans="1:4" s="7" customFormat="1" ht="23.25" customHeight="1">
      <c r="A1103" s="4" t="str">
        <f>"王茜"</f>
        <v>王茜</v>
      </c>
      <c r="B1103" s="4" t="str">
        <f>"5860406021319"</f>
        <v>5860406021319</v>
      </c>
      <c r="C1103" s="4" t="str">
        <f t="shared" si="47"/>
        <v>600076</v>
      </c>
      <c r="D1103" s="5">
        <v>83.5</v>
      </c>
    </row>
    <row r="1104" spans="1:4" s="7" customFormat="1" ht="23.25" customHeight="1">
      <c r="A1104" s="4" t="str">
        <f>"黎茜茜"</f>
        <v>黎茜茜</v>
      </c>
      <c r="B1104" s="4" t="str">
        <f>"5860406021402"</f>
        <v>5860406021402</v>
      </c>
      <c r="C1104" s="4" t="str">
        <f t="shared" si="47"/>
        <v>600076</v>
      </c>
      <c r="D1104" s="5">
        <v>85.83</v>
      </c>
    </row>
    <row r="1105" spans="1:4" s="7" customFormat="1" ht="23.25" customHeight="1">
      <c r="A1105" s="4" t="str">
        <f>"任春娥"</f>
        <v>任春娥</v>
      </c>
      <c r="B1105" s="4" t="str">
        <f>"5860406021506"</f>
        <v>5860406021506</v>
      </c>
      <c r="C1105" s="4" t="str">
        <f t="shared" si="47"/>
        <v>600076</v>
      </c>
      <c r="D1105" s="5">
        <v>83</v>
      </c>
    </row>
    <row r="1106" spans="1:4" s="7" customFormat="1" ht="23.25" customHeight="1">
      <c r="A1106" s="4" t="str">
        <f>"谢代全"</f>
        <v>谢代全</v>
      </c>
      <c r="B1106" s="4" t="str">
        <f>"5860406021405"</f>
        <v>5860406021405</v>
      </c>
      <c r="C1106" s="4" t="str">
        <f t="shared" si="47"/>
        <v>600076</v>
      </c>
      <c r="D1106" s="5">
        <v>84</v>
      </c>
    </row>
    <row r="1107" spans="1:4" s="7" customFormat="1" ht="23.25" customHeight="1">
      <c r="A1107" s="4" t="str">
        <f>"江敏"</f>
        <v>江敏</v>
      </c>
      <c r="B1107" s="4" t="str">
        <f>"5860406021412"</f>
        <v>5860406021412</v>
      </c>
      <c r="C1107" s="4" t="str">
        <f t="shared" si="47"/>
        <v>600076</v>
      </c>
      <c r="D1107" s="5">
        <v>85.33</v>
      </c>
    </row>
    <row r="1108" spans="1:4" s="7" customFormat="1" ht="23.25" customHeight="1">
      <c r="A1108" s="4" t="str">
        <f>"吴波"</f>
        <v>吴波</v>
      </c>
      <c r="B1108" s="4" t="str">
        <f>"5860406021429"</f>
        <v>5860406021429</v>
      </c>
      <c r="C1108" s="4" t="str">
        <f t="shared" si="47"/>
        <v>600076</v>
      </c>
      <c r="D1108" s="5">
        <v>86.03</v>
      </c>
    </row>
    <row r="1109" spans="1:4" s="7" customFormat="1" ht="23.25" customHeight="1">
      <c r="A1109" s="4" t="str">
        <f>"黄婷婷"</f>
        <v>黄婷婷</v>
      </c>
      <c r="B1109" s="4" t="str">
        <f>"5860406021221"</f>
        <v>5860406021221</v>
      </c>
      <c r="C1109" s="4" t="str">
        <f t="shared" si="47"/>
        <v>600076</v>
      </c>
      <c r="D1109" s="5">
        <v>87</v>
      </c>
    </row>
    <row r="1110" spans="1:4" s="7" customFormat="1" ht="23.25" customHeight="1">
      <c r="A1110" s="4" t="str">
        <f>"彭明洪"</f>
        <v>彭明洪</v>
      </c>
      <c r="B1110" s="4" t="str">
        <f>"5860406021228"</f>
        <v>5860406021228</v>
      </c>
      <c r="C1110" s="4" t="str">
        <f t="shared" si="47"/>
        <v>600076</v>
      </c>
      <c r="D1110" s="5">
        <v>76.67</v>
      </c>
    </row>
    <row r="1111" spans="1:4" s="7" customFormat="1" ht="23.25" customHeight="1">
      <c r="A1111" s="4" t="str">
        <f>"廖义芳"</f>
        <v>廖义芳</v>
      </c>
      <c r="B1111" s="4" t="str">
        <f>"5860406021324"</f>
        <v>5860406021324</v>
      </c>
      <c r="C1111" s="4" t="str">
        <f t="shared" si="47"/>
        <v>600076</v>
      </c>
      <c r="D1111" s="5">
        <v>81.17</v>
      </c>
    </row>
    <row r="1112" spans="1:4" s="7" customFormat="1" ht="23.25" customHeight="1">
      <c r="A1112" s="4" t="str">
        <f>"周贵芬"</f>
        <v>周贵芬</v>
      </c>
      <c r="B1112" s="4" t="str">
        <f>"5860406021424"</f>
        <v>5860406021424</v>
      </c>
      <c r="C1112" s="4" t="str">
        <f t="shared" si="47"/>
        <v>600076</v>
      </c>
      <c r="D1112" s="5">
        <v>84</v>
      </c>
    </row>
    <row r="1113" spans="1:4" s="7" customFormat="1" ht="23.25" customHeight="1">
      <c r="A1113" s="4" t="str">
        <f>"陈禄秀"</f>
        <v>陈禄秀</v>
      </c>
      <c r="B1113" s="4" t="str">
        <f>"5860406021426"</f>
        <v>5860406021426</v>
      </c>
      <c r="C1113" s="4" t="str">
        <f t="shared" si="47"/>
        <v>600076</v>
      </c>
      <c r="D1113" s="5">
        <v>83.67</v>
      </c>
    </row>
    <row r="1114" spans="1:4" s="7" customFormat="1" ht="23.25" customHeight="1">
      <c r="A1114" s="4" t="str">
        <f>"冷开贤"</f>
        <v>冷开贤</v>
      </c>
      <c r="B1114" s="4" t="str">
        <f>"5860406021226"</f>
        <v>5860406021226</v>
      </c>
      <c r="C1114" s="4" t="str">
        <f t="shared" si="47"/>
        <v>600076</v>
      </c>
      <c r="D1114" s="5">
        <v>84</v>
      </c>
    </row>
    <row r="1115" spans="1:4" s="7" customFormat="1" ht="23.25" customHeight="1">
      <c r="A1115" s="4" t="str">
        <f>"姚芳"</f>
        <v>姚芳</v>
      </c>
      <c r="B1115" s="4" t="str">
        <f>"5860406021403"</f>
        <v>5860406021403</v>
      </c>
      <c r="C1115" s="4" t="str">
        <f t="shared" si="47"/>
        <v>600076</v>
      </c>
      <c r="D1115" s="5">
        <v>85.5</v>
      </c>
    </row>
    <row r="1116" spans="1:4" s="7" customFormat="1" ht="23.25" customHeight="1">
      <c r="A1116" s="4" t="str">
        <f>"付徐利"</f>
        <v>付徐利</v>
      </c>
      <c r="B1116" s="4" t="str">
        <f>"5860406021224"</f>
        <v>5860406021224</v>
      </c>
      <c r="C1116" s="4" t="str">
        <f t="shared" si="47"/>
        <v>600076</v>
      </c>
      <c r="D1116" s="5">
        <v>83.67</v>
      </c>
    </row>
    <row r="1117" spans="1:4" s="7" customFormat="1" ht="23.25" customHeight="1">
      <c r="A1117" s="4" t="str">
        <f>"陈万梅"</f>
        <v>陈万梅</v>
      </c>
      <c r="B1117" s="4" t="str">
        <f>"5860406021404"</f>
        <v>5860406021404</v>
      </c>
      <c r="C1117" s="4" t="str">
        <f t="shared" si="47"/>
        <v>600076</v>
      </c>
      <c r="D1117" s="5">
        <v>84.5</v>
      </c>
    </row>
    <row r="1118" spans="1:4" s="7" customFormat="1" ht="23.25" customHeight="1">
      <c r="A1118" s="4" t="str">
        <f>"马春瑶"</f>
        <v>马春瑶</v>
      </c>
      <c r="B1118" s="4" t="str">
        <f>"5860406021425"</f>
        <v>5860406021425</v>
      </c>
      <c r="C1118" s="4" t="str">
        <f t="shared" si="47"/>
        <v>600076</v>
      </c>
      <c r="D1118" s="5">
        <v>85</v>
      </c>
    </row>
    <row r="1119" spans="1:4" s="7" customFormat="1" ht="23.25" customHeight="1">
      <c r="A1119" s="4" t="str">
        <f>"王潇"</f>
        <v>王潇</v>
      </c>
      <c r="B1119" s="4" t="str">
        <f>"5860406021502"</f>
        <v>5860406021502</v>
      </c>
      <c r="C1119" s="4" t="str">
        <f t="shared" si="47"/>
        <v>600076</v>
      </c>
      <c r="D1119" s="5">
        <v>85</v>
      </c>
    </row>
    <row r="1120" spans="1:4" s="7" customFormat="1" ht="23.25" customHeight="1">
      <c r="A1120" s="4" t="str">
        <f>"张耀方"</f>
        <v>张耀方</v>
      </c>
      <c r="B1120" s="4" t="str">
        <f>"5860406021309"</f>
        <v>5860406021309</v>
      </c>
      <c r="C1120" s="4" t="str">
        <f t="shared" si="47"/>
        <v>600076</v>
      </c>
      <c r="D1120" s="5">
        <v>84.77</v>
      </c>
    </row>
    <row r="1121" spans="1:4" s="7" customFormat="1" ht="23.25" customHeight="1">
      <c r="A1121" s="4" t="str">
        <f>"王超兰"</f>
        <v>王超兰</v>
      </c>
      <c r="B1121" s="4" t="str">
        <f>"5860406021316"</f>
        <v>5860406021316</v>
      </c>
      <c r="C1121" s="4" t="str">
        <f t="shared" si="47"/>
        <v>600076</v>
      </c>
      <c r="D1121" s="5">
        <v>82.5</v>
      </c>
    </row>
    <row r="1122" spans="1:4" s="7" customFormat="1" ht="23.25" customHeight="1">
      <c r="A1122" s="4" t="str">
        <f>"严玲"</f>
        <v>严玲</v>
      </c>
      <c r="B1122" s="4" t="str">
        <f>"5860406021317"</f>
        <v>5860406021317</v>
      </c>
      <c r="C1122" s="4" t="str">
        <f t="shared" si="47"/>
        <v>600076</v>
      </c>
      <c r="D1122" s="5">
        <v>73</v>
      </c>
    </row>
    <row r="1123" spans="1:4" s="7" customFormat="1" ht="23.25" customHeight="1">
      <c r="A1123" s="4" t="str">
        <f>"刘渝"</f>
        <v>刘渝</v>
      </c>
      <c r="B1123" s="4" t="str">
        <f>"5860406021223"</f>
        <v>5860406021223</v>
      </c>
      <c r="C1123" s="4" t="str">
        <f t="shared" si="47"/>
        <v>600076</v>
      </c>
      <c r="D1123" s="5">
        <v>86.8</v>
      </c>
    </row>
    <row r="1124" spans="1:4" s="7" customFormat="1" ht="23.25" customHeight="1">
      <c r="A1124" s="4" t="str">
        <f>"符越"</f>
        <v>符越</v>
      </c>
      <c r="B1124" s="4" t="str">
        <f>"5860406021311"</f>
        <v>5860406021311</v>
      </c>
      <c r="C1124" s="4" t="str">
        <f t="shared" si="47"/>
        <v>600076</v>
      </c>
      <c r="D1124" s="5">
        <v>81.77</v>
      </c>
    </row>
    <row r="1125" spans="1:4" s="7" customFormat="1" ht="23.25" customHeight="1">
      <c r="A1125" s="4" t="str">
        <f>"廖太成"</f>
        <v>廖太成</v>
      </c>
      <c r="B1125" s="4" t="str">
        <f>"5860406021313"</f>
        <v>5860406021313</v>
      </c>
      <c r="C1125" s="4" t="str">
        <f t="shared" si="47"/>
        <v>600076</v>
      </c>
      <c r="D1125" s="5">
        <v>81.33</v>
      </c>
    </row>
    <row r="1126" spans="1:4" s="7" customFormat="1" ht="23.25" customHeight="1">
      <c r="A1126" s="4" t="str">
        <f>"邹中兴"</f>
        <v>邹中兴</v>
      </c>
      <c r="B1126" s="4" t="str">
        <f>"5860406021513"</f>
        <v>5860406021513</v>
      </c>
      <c r="C1126" s="4" t="str">
        <f t="shared" si="47"/>
        <v>600076</v>
      </c>
      <c r="D1126" s="5">
        <v>78</v>
      </c>
    </row>
    <row r="1127" spans="1:4" s="7" customFormat="1" ht="23.25" customHeight="1">
      <c r="A1127" s="4" t="str">
        <f>"李娜"</f>
        <v>李娜</v>
      </c>
      <c r="B1127" s="4" t="str">
        <f>"5860406021304"</f>
        <v>5860406021304</v>
      </c>
      <c r="C1127" s="4" t="str">
        <f t="shared" si="47"/>
        <v>600076</v>
      </c>
      <c r="D1127" s="5">
        <v>83.33</v>
      </c>
    </row>
    <row r="1128" spans="1:4" s="7" customFormat="1" ht="23.25" customHeight="1">
      <c r="A1128" s="4" t="str">
        <f>"马文艺"</f>
        <v>马文艺</v>
      </c>
      <c r="B1128" s="4" t="str">
        <f>"5860406021330"</f>
        <v>5860406021330</v>
      </c>
      <c r="C1128" s="4" t="str">
        <f t="shared" si="47"/>
        <v>600076</v>
      </c>
      <c r="D1128" s="5">
        <v>82.33</v>
      </c>
    </row>
    <row r="1129" spans="1:4" s="7" customFormat="1" ht="23.25" customHeight="1">
      <c r="A1129" s="4" t="str">
        <f>"冷巧"</f>
        <v>冷巧</v>
      </c>
      <c r="B1129" s="4" t="str">
        <f>"5860406021503"</f>
        <v>5860406021503</v>
      </c>
      <c r="C1129" s="4" t="str">
        <f t="shared" si="47"/>
        <v>600076</v>
      </c>
      <c r="D1129" s="5">
        <v>80.43</v>
      </c>
    </row>
    <row r="1130" spans="1:4" s="7" customFormat="1" ht="23.25" customHeight="1">
      <c r="A1130" s="4" t="str">
        <f>"郑小兰"</f>
        <v>郑小兰</v>
      </c>
      <c r="B1130" s="4" t="str">
        <f>"5860406021521"</f>
        <v>5860406021521</v>
      </c>
      <c r="C1130" s="4" t="str">
        <f aca="true" t="shared" si="48" ref="C1130:C1164">"600077"</f>
        <v>600077</v>
      </c>
      <c r="D1130" s="5">
        <v>82.33</v>
      </c>
    </row>
    <row r="1131" spans="1:4" s="7" customFormat="1" ht="23.25" customHeight="1">
      <c r="A1131" s="4" t="str">
        <f>"廖羽"</f>
        <v>廖羽</v>
      </c>
      <c r="B1131" s="4" t="str">
        <f>"5860406021601"</f>
        <v>5860406021601</v>
      </c>
      <c r="C1131" s="4" t="str">
        <f t="shared" si="48"/>
        <v>600077</v>
      </c>
      <c r="D1131" s="5">
        <v>80.67</v>
      </c>
    </row>
    <row r="1132" spans="1:4" s="7" customFormat="1" ht="23.25" customHeight="1">
      <c r="A1132" s="4" t="str">
        <f>"张莉"</f>
        <v>张莉</v>
      </c>
      <c r="B1132" s="4" t="str">
        <f>"5860406021614"</f>
        <v>5860406021614</v>
      </c>
      <c r="C1132" s="4" t="str">
        <f t="shared" si="48"/>
        <v>600077</v>
      </c>
      <c r="D1132" s="5">
        <v>79</v>
      </c>
    </row>
    <row r="1133" spans="1:4" s="7" customFormat="1" ht="23.25" customHeight="1">
      <c r="A1133" s="4" t="str">
        <f>"彭婷"</f>
        <v>彭婷</v>
      </c>
      <c r="B1133" s="4" t="str">
        <f>"5860406021615"</f>
        <v>5860406021615</v>
      </c>
      <c r="C1133" s="4" t="str">
        <f t="shared" si="48"/>
        <v>600077</v>
      </c>
      <c r="D1133" s="5">
        <v>82</v>
      </c>
    </row>
    <row r="1134" spans="1:4" s="7" customFormat="1" ht="23.25" customHeight="1">
      <c r="A1134" s="4" t="str">
        <f>"曹贞贞"</f>
        <v>曹贞贞</v>
      </c>
      <c r="B1134" s="4" t="str">
        <f>"5860406021611"</f>
        <v>5860406021611</v>
      </c>
      <c r="C1134" s="4" t="str">
        <f t="shared" si="48"/>
        <v>600077</v>
      </c>
      <c r="D1134" s="5">
        <v>82.33</v>
      </c>
    </row>
    <row r="1135" spans="1:4" s="7" customFormat="1" ht="23.25" customHeight="1">
      <c r="A1135" s="4" t="str">
        <f>"张俊"</f>
        <v>张俊</v>
      </c>
      <c r="B1135" s="4" t="str">
        <f>"5860406021530"</f>
        <v>5860406021530</v>
      </c>
      <c r="C1135" s="4" t="str">
        <f t="shared" si="48"/>
        <v>600077</v>
      </c>
      <c r="D1135" s="5">
        <v>84</v>
      </c>
    </row>
    <row r="1136" spans="1:4" s="7" customFormat="1" ht="23.25" customHeight="1">
      <c r="A1136" s="4" t="str">
        <f>"舒红梅"</f>
        <v>舒红梅</v>
      </c>
      <c r="B1136" s="4" t="str">
        <f>"5860406021604"</f>
        <v>5860406021604</v>
      </c>
      <c r="C1136" s="4" t="str">
        <f t="shared" si="48"/>
        <v>600077</v>
      </c>
      <c r="D1136" s="5">
        <v>76.67</v>
      </c>
    </row>
    <row r="1137" spans="1:4" s="7" customFormat="1" ht="23.25" customHeight="1">
      <c r="A1137" s="4" t="str">
        <f>"黎小莉"</f>
        <v>黎小莉</v>
      </c>
      <c r="B1137" s="4" t="str">
        <f>"5860406021605"</f>
        <v>5860406021605</v>
      </c>
      <c r="C1137" s="4" t="str">
        <f t="shared" si="48"/>
        <v>600077</v>
      </c>
      <c r="D1137" s="5">
        <v>78.67</v>
      </c>
    </row>
    <row r="1138" spans="1:4" s="7" customFormat="1" ht="23.25" customHeight="1">
      <c r="A1138" s="4" t="str">
        <f>"郑丹丹"</f>
        <v>郑丹丹</v>
      </c>
      <c r="B1138" s="4" t="str">
        <f>"5860406021608"</f>
        <v>5860406021608</v>
      </c>
      <c r="C1138" s="4" t="str">
        <f t="shared" si="48"/>
        <v>600077</v>
      </c>
      <c r="D1138" s="5">
        <v>83</v>
      </c>
    </row>
    <row r="1139" spans="1:4" s="7" customFormat="1" ht="23.25" customHeight="1">
      <c r="A1139" s="4" t="str">
        <f>"李睿"</f>
        <v>李睿</v>
      </c>
      <c r="B1139" s="4" t="str">
        <f>"5860406021612"</f>
        <v>5860406021612</v>
      </c>
      <c r="C1139" s="4" t="str">
        <f t="shared" si="48"/>
        <v>600077</v>
      </c>
      <c r="D1139" s="5">
        <v>80.67</v>
      </c>
    </row>
    <row r="1140" spans="1:4" s="7" customFormat="1" ht="23.25" customHeight="1">
      <c r="A1140" s="4" t="str">
        <f>"唐晓燕"</f>
        <v>唐晓燕</v>
      </c>
      <c r="B1140" s="4" t="str">
        <f>"5860406021621"</f>
        <v>5860406021621</v>
      </c>
      <c r="C1140" s="4" t="str">
        <f t="shared" si="48"/>
        <v>600077</v>
      </c>
      <c r="D1140" s="5">
        <v>83.33</v>
      </c>
    </row>
    <row r="1141" spans="1:4" s="7" customFormat="1" ht="23.25" customHeight="1">
      <c r="A1141" s="4" t="str">
        <f>"郭林陇"</f>
        <v>郭林陇</v>
      </c>
      <c r="B1141" s="4" t="str">
        <f>"5860406021516"</f>
        <v>5860406021516</v>
      </c>
      <c r="C1141" s="4" t="str">
        <f t="shared" si="48"/>
        <v>600077</v>
      </c>
      <c r="D1141" s="5">
        <v>80</v>
      </c>
    </row>
    <row r="1142" spans="1:4" s="7" customFormat="1" ht="23.25" customHeight="1">
      <c r="A1142" s="4" t="str">
        <f>"汪清清"</f>
        <v>汪清清</v>
      </c>
      <c r="B1142" s="4" t="str">
        <f>"5860406021603"</f>
        <v>5860406021603</v>
      </c>
      <c r="C1142" s="4" t="str">
        <f t="shared" si="48"/>
        <v>600077</v>
      </c>
      <c r="D1142" s="5">
        <v>83.67</v>
      </c>
    </row>
    <row r="1143" spans="1:4" s="7" customFormat="1" ht="23.25" customHeight="1">
      <c r="A1143" s="4" t="str">
        <f>"王晓晓"</f>
        <v>王晓晓</v>
      </c>
      <c r="B1143" s="4" t="str">
        <f>"5860406021522"</f>
        <v>5860406021522</v>
      </c>
      <c r="C1143" s="4" t="str">
        <f t="shared" si="48"/>
        <v>600077</v>
      </c>
      <c r="D1143" s="5">
        <v>82.67</v>
      </c>
    </row>
    <row r="1144" spans="1:4" s="7" customFormat="1" ht="23.25" customHeight="1">
      <c r="A1144" s="4" t="str">
        <f>"朱小灵"</f>
        <v>朱小灵</v>
      </c>
      <c r="B1144" s="4" t="str">
        <f>"5860406021524"</f>
        <v>5860406021524</v>
      </c>
      <c r="C1144" s="4" t="str">
        <f t="shared" si="48"/>
        <v>600077</v>
      </c>
      <c r="D1144" s="5">
        <v>81.33</v>
      </c>
    </row>
    <row r="1145" spans="1:4" s="7" customFormat="1" ht="23.25" customHeight="1">
      <c r="A1145" s="4" t="str">
        <f>"黄芙蓉"</f>
        <v>黄芙蓉</v>
      </c>
      <c r="B1145" s="4" t="str">
        <f>"5860406021623"</f>
        <v>5860406021623</v>
      </c>
      <c r="C1145" s="4" t="str">
        <f t="shared" si="48"/>
        <v>600077</v>
      </c>
      <c r="D1145" s="5">
        <v>74.67</v>
      </c>
    </row>
    <row r="1146" spans="1:4" s="7" customFormat="1" ht="23.25" customHeight="1">
      <c r="A1146" s="4" t="str">
        <f>"严发书"</f>
        <v>严发书</v>
      </c>
      <c r="B1146" s="4" t="str">
        <f>"5860406021706"</f>
        <v>5860406021706</v>
      </c>
      <c r="C1146" s="4" t="str">
        <f t="shared" si="48"/>
        <v>600077</v>
      </c>
      <c r="D1146" s="5">
        <v>76.67</v>
      </c>
    </row>
    <row r="1147" spans="1:4" s="7" customFormat="1" ht="23.25" customHeight="1">
      <c r="A1147" s="4" t="str">
        <f>"黄晓东"</f>
        <v>黄晓东</v>
      </c>
      <c r="B1147" s="4" t="str">
        <f>"5860406021528"</f>
        <v>5860406021528</v>
      </c>
      <c r="C1147" s="4" t="str">
        <f t="shared" si="48"/>
        <v>600077</v>
      </c>
      <c r="D1147" s="5">
        <v>86.33</v>
      </c>
    </row>
    <row r="1148" spans="1:4" s="7" customFormat="1" ht="23.25" customHeight="1">
      <c r="A1148" s="4" t="str">
        <f>"潘嘉垚"</f>
        <v>潘嘉垚</v>
      </c>
      <c r="B1148" s="4" t="str">
        <f>"5860406021606"</f>
        <v>5860406021606</v>
      </c>
      <c r="C1148" s="4" t="str">
        <f t="shared" si="48"/>
        <v>600077</v>
      </c>
      <c r="D1148" s="5">
        <v>79.67</v>
      </c>
    </row>
    <row r="1149" spans="1:4" s="7" customFormat="1" ht="23.25" customHeight="1">
      <c r="A1149" s="4" t="str">
        <f>"黄媛"</f>
        <v>黄媛</v>
      </c>
      <c r="B1149" s="4" t="str">
        <f>"5860406021616"</f>
        <v>5860406021616</v>
      </c>
      <c r="C1149" s="4" t="str">
        <f t="shared" si="48"/>
        <v>600077</v>
      </c>
      <c r="D1149" s="5">
        <v>88.67</v>
      </c>
    </row>
    <row r="1150" spans="1:4" s="7" customFormat="1" ht="23.25" customHeight="1">
      <c r="A1150" s="4" t="str">
        <f>"徐作明"</f>
        <v>徐作明</v>
      </c>
      <c r="B1150" s="4" t="str">
        <f>"5860406021618"</f>
        <v>5860406021618</v>
      </c>
      <c r="C1150" s="4" t="str">
        <f t="shared" si="48"/>
        <v>600077</v>
      </c>
      <c r="D1150" s="5">
        <v>85.67</v>
      </c>
    </row>
    <row r="1151" spans="1:4" s="7" customFormat="1" ht="23.25" customHeight="1">
      <c r="A1151" s="4" t="str">
        <f>"黄达"</f>
        <v>黄达</v>
      </c>
      <c r="B1151" s="4" t="str">
        <f>"5860406021701"</f>
        <v>5860406021701</v>
      </c>
      <c r="C1151" s="4" t="str">
        <f t="shared" si="48"/>
        <v>600077</v>
      </c>
      <c r="D1151" s="5">
        <v>82.33</v>
      </c>
    </row>
    <row r="1152" spans="1:4" s="7" customFormat="1" ht="23.25" customHeight="1">
      <c r="A1152" s="4" t="str">
        <f>"张议文"</f>
        <v>张议文</v>
      </c>
      <c r="B1152" s="4" t="str">
        <f>"5860406021514"</f>
        <v>5860406021514</v>
      </c>
      <c r="C1152" s="4" t="str">
        <f t="shared" si="48"/>
        <v>600077</v>
      </c>
      <c r="D1152" s="5">
        <v>85.67</v>
      </c>
    </row>
    <row r="1153" spans="1:4" s="7" customFormat="1" ht="23.25" customHeight="1">
      <c r="A1153" s="4" t="str">
        <f>"张婷"</f>
        <v>张婷</v>
      </c>
      <c r="B1153" s="4" t="str">
        <f>"5860406021617"</f>
        <v>5860406021617</v>
      </c>
      <c r="C1153" s="4" t="str">
        <f t="shared" si="48"/>
        <v>600077</v>
      </c>
      <c r="D1153" s="5">
        <v>85.67</v>
      </c>
    </row>
    <row r="1154" spans="1:4" s="7" customFormat="1" ht="23.25" customHeight="1">
      <c r="A1154" s="4" t="str">
        <f>"周柳亚"</f>
        <v>周柳亚</v>
      </c>
      <c r="B1154" s="4" t="str">
        <f>"5860406021620"</f>
        <v>5860406021620</v>
      </c>
      <c r="C1154" s="4" t="str">
        <f t="shared" si="48"/>
        <v>600077</v>
      </c>
      <c r="D1154" s="5">
        <v>81.33</v>
      </c>
    </row>
    <row r="1155" spans="1:4" s="7" customFormat="1" ht="23.25" customHeight="1">
      <c r="A1155" s="4" t="str">
        <f>"向军"</f>
        <v>向军</v>
      </c>
      <c r="B1155" s="4" t="str">
        <f>"5860406021703"</f>
        <v>5860406021703</v>
      </c>
      <c r="C1155" s="4" t="str">
        <f t="shared" si="48"/>
        <v>600077</v>
      </c>
      <c r="D1155" s="5">
        <v>78</v>
      </c>
    </row>
    <row r="1156" spans="1:4" s="7" customFormat="1" ht="23.25" customHeight="1">
      <c r="A1156" s="4" t="str">
        <f>"余卫婷"</f>
        <v>余卫婷</v>
      </c>
      <c r="B1156" s="4" t="str">
        <f>"5860406021602"</f>
        <v>5860406021602</v>
      </c>
      <c r="C1156" s="4" t="str">
        <f t="shared" si="48"/>
        <v>600077</v>
      </c>
      <c r="D1156" s="5">
        <v>81.67</v>
      </c>
    </row>
    <row r="1157" spans="1:4" s="7" customFormat="1" ht="23.25" customHeight="1">
      <c r="A1157" s="4" t="str">
        <f>"赵梅"</f>
        <v>赵梅</v>
      </c>
      <c r="B1157" s="4" t="str">
        <f>"5860406021520"</f>
        <v>5860406021520</v>
      </c>
      <c r="C1157" s="4" t="str">
        <f t="shared" si="48"/>
        <v>600077</v>
      </c>
      <c r="D1157" s="5">
        <v>78.67</v>
      </c>
    </row>
    <row r="1158" spans="1:4" s="7" customFormat="1" ht="23.25" customHeight="1">
      <c r="A1158" s="4" t="str">
        <f>"赵悦"</f>
        <v>赵悦</v>
      </c>
      <c r="B1158" s="4" t="str">
        <f>"5860406021519"</f>
        <v>5860406021519</v>
      </c>
      <c r="C1158" s="4" t="str">
        <f t="shared" si="48"/>
        <v>600077</v>
      </c>
      <c r="D1158" s="5">
        <v>78.67</v>
      </c>
    </row>
    <row r="1159" spans="1:4" s="7" customFormat="1" ht="23.25" customHeight="1">
      <c r="A1159" s="4" t="str">
        <f>"蔡敏"</f>
        <v>蔡敏</v>
      </c>
      <c r="B1159" s="4" t="str">
        <f>"5860406021525"</f>
        <v>5860406021525</v>
      </c>
      <c r="C1159" s="4" t="str">
        <f t="shared" si="48"/>
        <v>600077</v>
      </c>
      <c r="D1159" s="5">
        <v>74.33</v>
      </c>
    </row>
    <row r="1160" spans="1:4" s="7" customFormat="1" ht="23.25" customHeight="1">
      <c r="A1160" s="4" t="str">
        <f>"王典英"</f>
        <v>王典英</v>
      </c>
      <c r="B1160" s="4" t="str">
        <f>"5860406021622"</f>
        <v>5860406021622</v>
      </c>
      <c r="C1160" s="4" t="str">
        <f t="shared" si="48"/>
        <v>600077</v>
      </c>
      <c r="D1160" s="5">
        <v>71.67</v>
      </c>
    </row>
    <row r="1161" spans="1:4" s="7" customFormat="1" ht="23.25" customHeight="1">
      <c r="A1161" s="4" t="str">
        <f>"张春兰"</f>
        <v>张春兰</v>
      </c>
      <c r="B1161" s="4" t="str">
        <f>"5860406021702"</f>
        <v>5860406021702</v>
      </c>
      <c r="C1161" s="4" t="str">
        <f t="shared" si="48"/>
        <v>600077</v>
      </c>
      <c r="D1161" s="5">
        <v>79</v>
      </c>
    </row>
    <row r="1162" spans="1:4" s="7" customFormat="1" ht="23.25" customHeight="1">
      <c r="A1162" s="4" t="str">
        <f>"罗钱涛"</f>
        <v>罗钱涛</v>
      </c>
      <c r="B1162" s="4" t="str">
        <f>"5860406021628"</f>
        <v>5860406021628</v>
      </c>
      <c r="C1162" s="4" t="str">
        <f t="shared" si="48"/>
        <v>600077</v>
      </c>
      <c r="D1162" s="5">
        <v>80</v>
      </c>
    </row>
    <row r="1163" spans="1:4" s="7" customFormat="1" ht="23.25" customHeight="1">
      <c r="A1163" s="4" t="str">
        <f>"胡小书"</f>
        <v>胡小书</v>
      </c>
      <c r="B1163" s="4" t="str">
        <f>"5860406021630"</f>
        <v>5860406021630</v>
      </c>
      <c r="C1163" s="4" t="str">
        <f t="shared" si="48"/>
        <v>600077</v>
      </c>
      <c r="D1163" s="5">
        <v>75.33</v>
      </c>
    </row>
    <row r="1164" spans="1:4" s="7" customFormat="1" ht="23.25" customHeight="1">
      <c r="A1164" s="4" t="str">
        <f>"寿红"</f>
        <v>寿红</v>
      </c>
      <c r="B1164" s="4" t="str">
        <f>"5860406021610"</f>
        <v>5860406021610</v>
      </c>
      <c r="C1164" s="4" t="str">
        <f t="shared" si="48"/>
        <v>600077</v>
      </c>
      <c r="D1164" s="5">
        <v>88.67</v>
      </c>
    </row>
    <row r="1165" spans="1:4" s="7" customFormat="1" ht="23.25" customHeight="1">
      <c r="A1165" s="4" t="str">
        <f>"伍丹"</f>
        <v>伍丹</v>
      </c>
      <c r="B1165" s="4" t="str">
        <f>"5860406021817"</f>
        <v>5860406021817</v>
      </c>
      <c r="C1165" s="4" t="str">
        <f aca="true" t="shared" si="49" ref="C1165:C1196">"600078"</f>
        <v>600078</v>
      </c>
      <c r="D1165" s="5">
        <v>81</v>
      </c>
    </row>
    <row r="1166" spans="1:4" s="7" customFormat="1" ht="23.25" customHeight="1">
      <c r="A1166" s="4" t="str">
        <f>"魏蔚"</f>
        <v>魏蔚</v>
      </c>
      <c r="B1166" s="4" t="str">
        <f>"5860406021819"</f>
        <v>5860406021819</v>
      </c>
      <c r="C1166" s="4" t="str">
        <f t="shared" si="49"/>
        <v>600078</v>
      </c>
      <c r="D1166" s="5">
        <v>82</v>
      </c>
    </row>
    <row r="1167" spans="1:4" s="7" customFormat="1" ht="23.25" customHeight="1">
      <c r="A1167" s="4" t="str">
        <f>"谭姣"</f>
        <v>谭姣</v>
      </c>
      <c r="B1167" s="4" t="str">
        <f>"5860406021718"</f>
        <v>5860406021718</v>
      </c>
      <c r="C1167" s="4" t="str">
        <f t="shared" si="49"/>
        <v>600078</v>
      </c>
      <c r="D1167" s="5">
        <v>78.07</v>
      </c>
    </row>
    <row r="1168" spans="1:4" s="7" customFormat="1" ht="23.25" customHeight="1">
      <c r="A1168" s="4" t="str">
        <f>"陈善玲"</f>
        <v>陈善玲</v>
      </c>
      <c r="B1168" s="4" t="str">
        <f>"5860406021724"</f>
        <v>5860406021724</v>
      </c>
      <c r="C1168" s="4" t="str">
        <f t="shared" si="49"/>
        <v>600078</v>
      </c>
      <c r="D1168" s="5">
        <v>80.67</v>
      </c>
    </row>
    <row r="1169" spans="1:4" s="7" customFormat="1" ht="23.25" customHeight="1">
      <c r="A1169" s="4" t="str">
        <f>"王文菊"</f>
        <v>王文菊</v>
      </c>
      <c r="B1169" s="4" t="str">
        <f>"5860406021806"</f>
        <v>5860406021806</v>
      </c>
      <c r="C1169" s="4" t="str">
        <f t="shared" si="49"/>
        <v>600078</v>
      </c>
      <c r="D1169" s="5">
        <v>76.33</v>
      </c>
    </row>
    <row r="1170" spans="1:4" s="7" customFormat="1" ht="23.25" customHeight="1">
      <c r="A1170" s="4" t="str">
        <f>"李佳丽"</f>
        <v>李佳丽</v>
      </c>
      <c r="B1170" s="4" t="str">
        <f>"5860406021814"</f>
        <v>5860406021814</v>
      </c>
      <c r="C1170" s="4" t="str">
        <f t="shared" si="49"/>
        <v>600078</v>
      </c>
      <c r="D1170" s="5">
        <v>78.67</v>
      </c>
    </row>
    <row r="1171" spans="1:4" s="7" customFormat="1" ht="23.25" customHeight="1">
      <c r="A1171" s="4" t="str">
        <f>"郑兴见"</f>
        <v>郑兴见</v>
      </c>
      <c r="B1171" s="4" t="str">
        <f>"5860406021716"</f>
        <v>5860406021716</v>
      </c>
      <c r="C1171" s="4" t="str">
        <f t="shared" si="49"/>
        <v>600078</v>
      </c>
      <c r="D1171" s="5">
        <v>80.93</v>
      </c>
    </row>
    <row r="1172" spans="1:4" s="7" customFormat="1" ht="23.25" customHeight="1">
      <c r="A1172" s="4" t="str">
        <f>"蒋鹏"</f>
        <v>蒋鹏</v>
      </c>
      <c r="B1172" s="4" t="str">
        <f>"5860406021713"</f>
        <v>5860406021713</v>
      </c>
      <c r="C1172" s="4" t="str">
        <f t="shared" si="49"/>
        <v>600078</v>
      </c>
      <c r="D1172" s="5">
        <v>74.83</v>
      </c>
    </row>
    <row r="1173" spans="1:4" s="7" customFormat="1" ht="23.25" customHeight="1">
      <c r="A1173" s="4" t="str">
        <f>"张献"</f>
        <v>张献</v>
      </c>
      <c r="B1173" s="4" t="str">
        <f>"5860406021719"</f>
        <v>5860406021719</v>
      </c>
      <c r="C1173" s="4" t="str">
        <f t="shared" si="49"/>
        <v>600078</v>
      </c>
      <c r="D1173" s="5">
        <v>79.67</v>
      </c>
    </row>
    <row r="1174" spans="1:4" s="7" customFormat="1" ht="23.25" customHeight="1">
      <c r="A1174" s="4" t="str">
        <f>"吴辉艳"</f>
        <v>吴辉艳</v>
      </c>
      <c r="B1174" s="4" t="str">
        <f>"5860406021801"</f>
        <v>5860406021801</v>
      </c>
      <c r="C1174" s="4" t="str">
        <f t="shared" si="49"/>
        <v>600078</v>
      </c>
      <c r="D1174" s="5">
        <v>76.67</v>
      </c>
    </row>
    <row r="1175" spans="1:4" s="7" customFormat="1" ht="23.25" customHeight="1">
      <c r="A1175" s="4" t="str">
        <f>"汪娜娜"</f>
        <v>汪娜娜</v>
      </c>
      <c r="B1175" s="4" t="str">
        <f>"5860406021813"</f>
        <v>5860406021813</v>
      </c>
      <c r="C1175" s="4" t="str">
        <f t="shared" si="49"/>
        <v>600078</v>
      </c>
      <c r="D1175" s="5">
        <v>79.67</v>
      </c>
    </row>
    <row r="1176" spans="1:4" s="7" customFormat="1" ht="23.25" customHeight="1">
      <c r="A1176" s="4" t="str">
        <f>"邱悦"</f>
        <v>邱悦</v>
      </c>
      <c r="B1176" s="4" t="str">
        <f>"5860406021720"</f>
        <v>5860406021720</v>
      </c>
      <c r="C1176" s="4" t="str">
        <f t="shared" si="49"/>
        <v>600078</v>
      </c>
      <c r="D1176" s="5">
        <v>78.67</v>
      </c>
    </row>
    <row r="1177" spans="1:4" s="7" customFormat="1" ht="23.25" customHeight="1">
      <c r="A1177" s="4" t="str">
        <f>"王梅丽"</f>
        <v>王梅丽</v>
      </c>
      <c r="B1177" s="4" t="str">
        <f>"5860406021810"</f>
        <v>5860406021810</v>
      </c>
      <c r="C1177" s="4" t="str">
        <f t="shared" si="49"/>
        <v>600078</v>
      </c>
      <c r="D1177" s="5">
        <v>80</v>
      </c>
    </row>
    <row r="1178" spans="1:4" s="7" customFormat="1" ht="23.25" customHeight="1">
      <c r="A1178" s="4" t="str">
        <f>"郭娇娇"</f>
        <v>郭娇娇</v>
      </c>
      <c r="B1178" s="4" t="str">
        <f>"5860406021711"</f>
        <v>5860406021711</v>
      </c>
      <c r="C1178" s="4" t="str">
        <f t="shared" si="49"/>
        <v>600078</v>
      </c>
      <c r="D1178" s="5">
        <v>82</v>
      </c>
    </row>
    <row r="1179" spans="1:4" s="7" customFormat="1" ht="23.25" customHeight="1">
      <c r="A1179" s="4" t="str">
        <f>"王迪文"</f>
        <v>王迪文</v>
      </c>
      <c r="B1179" s="4" t="str">
        <f>"5860406021707"</f>
        <v>5860406021707</v>
      </c>
      <c r="C1179" s="4" t="str">
        <f t="shared" si="49"/>
        <v>600078</v>
      </c>
      <c r="D1179" s="5">
        <v>79.17</v>
      </c>
    </row>
    <row r="1180" spans="1:4" s="7" customFormat="1" ht="23.25" customHeight="1">
      <c r="A1180" s="4" t="str">
        <f>"邱亚"</f>
        <v>邱亚</v>
      </c>
      <c r="B1180" s="4" t="str">
        <f>"5860406021812"</f>
        <v>5860406021812</v>
      </c>
      <c r="C1180" s="4" t="str">
        <f t="shared" si="49"/>
        <v>600078</v>
      </c>
      <c r="D1180" s="5">
        <v>78.33</v>
      </c>
    </row>
    <row r="1181" spans="1:4" s="7" customFormat="1" ht="23.25" customHeight="1">
      <c r="A1181" s="4" t="str">
        <f>"唐丹"</f>
        <v>唐丹</v>
      </c>
      <c r="B1181" s="4" t="str">
        <f>"5860406021823"</f>
        <v>5860406021823</v>
      </c>
      <c r="C1181" s="4" t="str">
        <f t="shared" si="49"/>
        <v>600078</v>
      </c>
      <c r="D1181" s="5">
        <v>77</v>
      </c>
    </row>
    <row r="1182" spans="1:4" s="7" customFormat="1" ht="23.25" customHeight="1">
      <c r="A1182" s="4" t="str">
        <f>"饶俊勇"</f>
        <v>饶俊勇</v>
      </c>
      <c r="B1182" s="4" t="str">
        <f>"5860406021715"</f>
        <v>5860406021715</v>
      </c>
      <c r="C1182" s="4" t="str">
        <f t="shared" si="49"/>
        <v>600078</v>
      </c>
      <c r="D1182" s="5">
        <v>73.67</v>
      </c>
    </row>
    <row r="1183" spans="1:4" s="7" customFormat="1" ht="23.25" customHeight="1">
      <c r="A1183" s="4" t="str">
        <f>"袁世亚"</f>
        <v>袁世亚</v>
      </c>
      <c r="B1183" s="4" t="str">
        <f>"5860406021721"</f>
        <v>5860406021721</v>
      </c>
      <c r="C1183" s="4" t="str">
        <f t="shared" si="49"/>
        <v>600078</v>
      </c>
      <c r="D1183" s="5">
        <v>76</v>
      </c>
    </row>
    <row r="1184" spans="1:4" s="7" customFormat="1" ht="23.25" customHeight="1">
      <c r="A1184" s="4" t="str">
        <f>"周秋香"</f>
        <v>周秋香</v>
      </c>
      <c r="B1184" s="4" t="str">
        <f>"5860406021807"</f>
        <v>5860406021807</v>
      </c>
      <c r="C1184" s="4" t="str">
        <f t="shared" si="49"/>
        <v>600078</v>
      </c>
      <c r="D1184" s="5">
        <v>77.67</v>
      </c>
    </row>
    <row r="1185" spans="1:4" s="7" customFormat="1" ht="23.25" customHeight="1">
      <c r="A1185" s="4" t="str">
        <f>"李茜"</f>
        <v>李茜</v>
      </c>
      <c r="B1185" s="4" t="str">
        <f>"5860406021818"</f>
        <v>5860406021818</v>
      </c>
      <c r="C1185" s="4" t="str">
        <f t="shared" si="49"/>
        <v>600078</v>
      </c>
      <c r="D1185" s="5">
        <v>77</v>
      </c>
    </row>
    <row r="1186" spans="1:4" s="7" customFormat="1" ht="23.25" customHeight="1">
      <c r="A1186" s="4" t="str">
        <f>"严永琪"</f>
        <v>严永琪</v>
      </c>
      <c r="B1186" s="4" t="str">
        <f>"5860406021714"</f>
        <v>5860406021714</v>
      </c>
      <c r="C1186" s="4" t="str">
        <f t="shared" si="49"/>
        <v>600078</v>
      </c>
      <c r="D1186" s="5">
        <v>71.67</v>
      </c>
    </row>
    <row r="1187" spans="1:4" s="7" customFormat="1" ht="23.25" customHeight="1">
      <c r="A1187" s="4" t="str">
        <f>"唐开艳"</f>
        <v>唐开艳</v>
      </c>
      <c r="B1187" s="4" t="str">
        <f>"5860406021728"</f>
        <v>5860406021728</v>
      </c>
      <c r="C1187" s="4" t="str">
        <f t="shared" si="49"/>
        <v>600078</v>
      </c>
      <c r="D1187" s="5">
        <v>76.33</v>
      </c>
    </row>
    <row r="1188" spans="1:4" s="7" customFormat="1" ht="23.25" customHeight="1">
      <c r="A1188" s="4" t="str">
        <f>"李莉"</f>
        <v>李莉</v>
      </c>
      <c r="B1188" s="4" t="str">
        <f>"5860406021708"</f>
        <v>5860406021708</v>
      </c>
      <c r="C1188" s="4" t="str">
        <f t="shared" si="49"/>
        <v>600078</v>
      </c>
      <c r="D1188" s="5">
        <v>79.67</v>
      </c>
    </row>
    <row r="1189" spans="1:4" s="7" customFormat="1" ht="23.25" customHeight="1">
      <c r="A1189" s="4" t="str">
        <f>"王丹丹"</f>
        <v>王丹丹</v>
      </c>
      <c r="B1189" s="4" t="str">
        <f>"5860406021722"</f>
        <v>5860406021722</v>
      </c>
      <c r="C1189" s="4" t="str">
        <f t="shared" si="49"/>
        <v>600078</v>
      </c>
      <c r="D1189" s="5">
        <v>78</v>
      </c>
    </row>
    <row r="1190" spans="1:4" s="7" customFormat="1" ht="23.25" customHeight="1">
      <c r="A1190" s="4" t="str">
        <f>"杨荞西"</f>
        <v>杨荞西</v>
      </c>
      <c r="B1190" s="4" t="str">
        <f>"5860406021809"</f>
        <v>5860406021809</v>
      </c>
      <c r="C1190" s="4" t="str">
        <f t="shared" si="49"/>
        <v>600078</v>
      </c>
      <c r="D1190" s="5">
        <v>77.5</v>
      </c>
    </row>
    <row r="1191" spans="1:4" s="7" customFormat="1" ht="23.25" customHeight="1">
      <c r="A1191" s="4" t="str">
        <f>"蒲刚"</f>
        <v>蒲刚</v>
      </c>
      <c r="B1191" s="4" t="str">
        <f>"5860406021723"</f>
        <v>5860406021723</v>
      </c>
      <c r="C1191" s="4" t="str">
        <f t="shared" si="49"/>
        <v>600078</v>
      </c>
      <c r="D1191" s="5">
        <v>85.93</v>
      </c>
    </row>
    <row r="1192" spans="1:4" s="7" customFormat="1" ht="23.25" customHeight="1">
      <c r="A1192" s="4" t="str">
        <f>"余建华"</f>
        <v>余建华</v>
      </c>
      <c r="B1192" s="4" t="str">
        <f>"5860406021824"</f>
        <v>5860406021824</v>
      </c>
      <c r="C1192" s="4" t="str">
        <f t="shared" si="49"/>
        <v>600078</v>
      </c>
      <c r="D1192" s="5">
        <v>79.67</v>
      </c>
    </row>
    <row r="1193" spans="1:4" s="7" customFormat="1" ht="23.25" customHeight="1">
      <c r="A1193" s="4" t="str">
        <f>"蒋美娟"</f>
        <v>蒋美娟</v>
      </c>
      <c r="B1193" s="4" t="str">
        <f>"5860406021712"</f>
        <v>5860406021712</v>
      </c>
      <c r="C1193" s="4" t="str">
        <f t="shared" si="49"/>
        <v>600078</v>
      </c>
      <c r="D1193" s="5">
        <v>78.67</v>
      </c>
    </row>
    <row r="1194" spans="1:4" s="7" customFormat="1" ht="23.25" customHeight="1">
      <c r="A1194" s="4" t="str">
        <f>"粟明彦"</f>
        <v>粟明彦</v>
      </c>
      <c r="B1194" s="4" t="str">
        <f>"5860406021717"</f>
        <v>5860406021717</v>
      </c>
      <c r="C1194" s="4" t="str">
        <f t="shared" si="49"/>
        <v>600078</v>
      </c>
      <c r="D1194" s="5">
        <v>79.67</v>
      </c>
    </row>
    <row r="1195" spans="1:4" s="7" customFormat="1" ht="23.25" customHeight="1">
      <c r="A1195" s="4" t="str">
        <f>"刘子菡"</f>
        <v>刘子菡</v>
      </c>
      <c r="B1195" s="4" t="str">
        <f>"5860406021804"</f>
        <v>5860406021804</v>
      </c>
      <c r="C1195" s="4" t="str">
        <f t="shared" si="49"/>
        <v>600078</v>
      </c>
      <c r="D1195" s="5" t="s">
        <v>36</v>
      </c>
    </row>
    <row r="1196" spans="1:4" s="7" customFormat="1" ht="23.25" customHeight="1">
      <c r="A1196" s="4" t="str">
        <f>"孙丽华"</f>
        <v>孙丽华</v>
      </c>
      <c r="B1196" s="4" t="str">
        <f>"5860406021815"</f>
        <v>5860406021815</v>
      </c>
      <c r="C1196" s="4" t="str">
        <f t="shared" si="49"/>
        <v>600078</v>
      </c>
      <c r="D1196" s="5">
        <v>74.67</v>
      </c>
    </row>
    <row r="1197" spans="1:4" s="7" customFormat="1" ht="23.25" customHeight="1">
      <c r="A1197" s="4" t="str">
        <f>"李灵"</f>
        <v>李灵</v>
      </c>
      <c r="B1197" s="4" t="str">
        <f>"5860406021827"</f>
        <v>5860406021827</v>
      </c>
      <c r="C1197" s="4" t="str">
        <f aca="true" t="shared" si="50" ref="C1197:C1221">"600079"</f>
        <v>600079</v>
      </c>
      <c r="D1197" s="5">
        <v>80</v>
      </c>
    </row>
    <row r="1198" spans="1:4" s="7" customFormat="1" ht="23.25" customHeight="1">
      <c r="A1198" s="4" t="str">
        <f>"文静"</f>
        <v>文静</v>
      </c>
      <c r="B1198" s="4" t="str">
        <f>"5860406021907"</f>
        <v>5860406021907</v>
      </c>
      <c r="C1198" s="4" t="str">
        <f t="shared" si="50"/>
        <v>600079</v>
      </c>
      <c r="D1198" s="5">
        <v>79.47</v>
      </c>
    </row>
    <row r="1199" spans="1:4" s="7" customFormat="1" ht="23.25" customHeight="1">
      <c r="A1199" s="4" t="str">
        <f>"谢秀娟"</f>
        <v>谢秀娟</v>
      </c>
      <c r="B1199" s="4" t="str">
        <f>"5860406021926"</f>
        <v>5860406021926</v>
      </c>
      <c r="C1199" s="4" t="str">
        <f t="shared" si="50"/>
        <v>600079</v>
      </c>
      <c r="D1199" s="5">
        <v>82.33</v>
      </c>
    </row>
    <row r="1200" spans="1:4" s="7" customFormat="1" ht="23.25" customHeight="1">
      <c r="A1200" s="4" t="str">
        <f>"陈梅"</f>
        <v>陈梅</v>
      </c>
      <c r="B1200" s="4" t="str">
        <f>"5860406021902"</f>
        <v>5860406021902</v>
      </c>
      <c r="C1200" s="4" t="str">
        <f t="shared" si="50"/>
        <v>600079</v>
      </c>
      <c r="D1200" s="5">
        <v>78.4</v>
      </c>
    </row>
    <row r="1201" spans="1:4" s="7" customFormat="1" ht="23.25" customHeight="1">
      <c r="A1201" s="4" t="str">
        <f>"杨莉"</f>
        <v>杨莉</v>
      </c>
      <c r="B1201" s="4" t="str">
        <f>"5860406021830"</f>
        <v>5860406021830</v>
      </c>
      <c r="C1201" s="4" t="str">
        <f t="shared" si="50"/>
        <v>600079</v>
      </c>
      <c r="D1201" s="5">
        <v>79.73</v>
      </c>
    </row>
    <row r="1202" spans="1:4" s="7" customFormat="1" ht="23.25" customHeight="1">
      <c r="A1202" s="4" t="str">
        <f>"曾雯"</f>
        <v>曾雯</v>
      </c>
      <c r="B1202" s="4" t="str">
        <f>"5860406021906"</f>
        <v>5860406021906</v>
      </c>
      <c r="C1202" s="4" t="str">
        <f t="shared" si="50"/>
        <v>600079</v>
      </c>
      <c r="D1202" s="5">
        <v>81.33</v>
      </c>
    </row>
    <row r="1203" spans="1:4" s="7" customFormat="1" ht="23.25" customHeight="1">
      <c r="A1203" s="4" t="str">
        <f>"郭荣玲"</f>
        <v>郭荣玲</v>
      </c>
      <c r="B1203" s="4" t="str">
        <f>"5860406021908"</f>
        <v>5860406021908</v>
      </c>
      <c r="C1203" s="4" t="str">
        <f t="shared" si="50"/>
        <v>600079</v>
      </c>
      <c r="D1203" s="5">
        <v>79.07</v>
      </c>
    </row>
    <row r="1204" spans="1:4" s="7" customFormat="1" ht="23.25" customHeight="1">
      <c r="A1204" s="4" t="str">
        <f>"邓德强"</f>
        <v>邓德强</v>
      </c>
      <c r="B1204" s="4" t="str">
        <f>"5860406021911"</f>
        <v>5860406021911</v>
      </c>
      <c r="C1204" s="4" t="str">
        <f t="shared" si="50"/>
        <v>600079</v>
      </c>
      <c r="D1204" s="5">
        <v>82.17</v>
      </c>
    </row>
    <row r="1205" spans="1:4" s="7" customFormat="1" ht="23.25" customHeight="1">
      <c r="A1205" s="4" t="str">
        <f>"凌静"</f>
        <v>凌静</v>
      </c>
      <c r="B1205" s="4" t="str">
        <f>"5860406021921"</f>
        <v>5860406021921</v>
      </c>
      <c r="C1205" s="4" t="str">
        <f t="shared" si="50"/>
        <v>600079</v>
      </c>
      <c r="D1205" s="5">
        <v>82</v>
      </c>
    </row>
    <row r="1206" spans="1:4" s="7" customFormat="1" ht="23.25" customHeight="1">
      <c r="A1206" s="4" t="str">
        <f>"王欢"</f>
        <v>王欢</v>
      </c>
      <c r="B1206" s="4" t="str">
        <f>"5860406021923"</f>
        <v>5860406021923</v>
      </c>
      <c r="C1206" s="4" t="str">
        <f t="shared" si="50"/>
        <v>600079</v>
      </c>
      <c r="D1206" s="5">
        <v>84.17</v>
      </c>
    </row>
    <row r="1207" spans="1:4" s="7" customFormat="1" ht="23.25" customHeight="1">
      <c r="A1207" s="4" t="str">
        <f>"付雪琴"</f>
        <v>付雪琴</v>
      </c>
      <c r="B1207" s="4" t="str">
        <f>"5860406021829"</f>
        <v>5860406021829</v>
      </c>
      <c r="C1207" s="4" t="str">
        <f t="shared" si="50"/>
        <v>600079</v>
      </c>
      <c r="D1207" s="5">
        <v>82.73</v>
      </c>
    </row>
    <row r="1208" spans="1:4" s="7" customFormat="1" ht="23.25" customHeight="1">
      <c r="A1208" s="4" t="str">
        <f>"尹二龙"</f>
        <v>尹二龙</v>
      </c>
      <c r="B1208" s="4" t="str">
        <f>"5860406021903"</f>
        <v>5860406021903</v>
      </c>
      <c r="C1208" s="4" t="str">
        <f t="shared" si="50"/>
        <v>600079</v>
      </c>
      <c r="D1208" s="5">
        <v>75</v>
      </c>
    </row>
    <row r="1209" spans="1:4" s="7" customFormat="1" ht="23.25" customHeight="1">
      <c r="A1209" s="4" t="str">
        <f>"李林"</f>
        <v>李林</v>
      </c>
      <c r="B1209" s="4" t="str">
        <f>"5860406021918"</f>
        <v>5860406021918</v>
      </c>
      <c r="C1209" s="4" t="str">
        <f t="shared" si="50"/>
        <v>600079</v>
      </c>
      <c r="D1209" s="5">
        <v>78.07</v>
      </c>
    </row>
    <row r="1210" spans="1:4" s="7" customFormat="1" ht="23.25" customHeight="1">
      <c r="A1210" s="4" t="str">
        <f>"王本军"</f>
        <v>王本军</v>
      </c>
      <c r="B1210" s="4" t="str">
        <f>"5860406021828"</f>
        <v>5860406021828</v>
      </c>
      <c r="C1210" s="4" t="str">
        <f t="shared" si="50"/>
        <v>600079</v>
      </c>
      <c r="D1210" s="5">
        <v>76.67</v>
      </c>
    </row>
    <row r="1211" spans="1:4" s="7" customFormat="1" ht="23.25" customHeight="1">
      <c r="A1211" s="4" t="str">
        <f>"蒋婧雯"</f>
        <v>蒋婧雯</v>
      </c>
      <c r="B1211" s="4" t="str">
        <f>"5860406021920"</f>
        <v>5860406021920</v>
      </c>
      <c r="C1211" s="4" t="str">
        <f t="shared" si="50"/>
        <v>600079</v>
      </c>
      <c r="D1211" s="5">
        <v>83</v>
      </c>
    </row>
    <row r="1212" spans="1:4" s="7" customFormat="1" ht="23.25" customHeight="1">
      <c r="A1212" s="4" t="str">
        <f>"安丹丹"</f>
        <v>安丹丹</v>
      </c>
      <c r="B1212" s="4" t="str">
        <f>"5860406021901"</f>
        <v>5860406021901</v>
      </c>
      <c r="C1212" s="4" t="str">
        <f t="shared" si="50"/>
        <v>600079</v>
      </c>
      <c r="D1212" s="5">
        <v>79.67</v>
      </c>
    </row>
    <row r="1213" spans="1:4" s="7" customFormat="1" ht="23.25" customHeight="1">
      <c r="A1213" s="4" t="str">
        <f>"后艳"</f>
        <v>后艳</v>
      </c>
      <c r="B1213" s="4" t="str">
        <f>"5860406021914"</f>
        <v>5860406021914</v>
      </c>
      <c r="C1213" s="4" t="str">
        <f t="shared" si="50"/>
        <v>600079</v>
      </c>
      <c r="D1213" s="5">
        <v>77.67</v>
      </c>
    </row>
    <row r="1214" spans="1:4" s="7" customFormat="1" ht="23.25" customHeight="1">
      <c r="A1214" s="4" t="str">
        <f>"梅媚"</f>
        <v>梅媚</v>
      </c>
      <c r="B1214" s="4" t="str">
        <f>"5860406021927"</f>
        <v>5860406021927</v>
      </c>
      <c r="C1214" s="4" t="str">
        <f t="shared" si="50"/>
        <v>600079</v>
      </c>
      <c r="D1214" s="5">
        <v>79</v>
      </c>
    </row>
    <row r="1215" spans="1:4" s="7" customFormat="1" ht="23.25" customHeight="1">
      <c r="A1215" s="4" t="str">
        <f>"杨友莉"</f>
        <v>杨友莉</v>
      </c>
      <c r="B1215" s="4" t="str">
        <f>"5860406021919"</f>
        <v>5860406021919</v>
      </c>
      <c r="C1215" s="4" t="str">
        <f t="shared" si="50"/>
        <v>600079</v>
      </c>
      <c r="D1215" s="5" t="s">
        <v>36</v>
      </c>
    </row>
    <row r="1216" spans="1:4" s="7" customFormat="1" ht="23.25" customHeight="1">
      <c r="A1216" s="4" t="str">
        <f>"王怡然"</f>
        <v>王怡然</v>
      </c>
      <c r="B1216" s="4" t="str">
        <f>"5860406021917"</f>
        <v>5860406021917</v>
      </c>
      <c r="C1216" s="4" t="str">
        <f t="shared" si="50"/>
        <v>600079</v>
      </c>
      <c r="D1216" s="5">
        <v>81.67</v>
      </c>
    </row>
    <row r="1217" spans="1:4" s="7" customFormat="1" ht="23.25" customHeight="1">
      <c r="A1217" s="4" t="str">
        <f>"田道贵"</f>
        <v>田道贵</v>
      </c>
      <c r="B1217" s="4" t="str">
        <f>"5860406021904"</f>
        <v>5860406021904</v>
      </c>
      <c r="C1217" s="4" t="str">
        <f t="shared" si="50"/>
        <v>600079</v>
      </c>
      <c r="D1217" s="5">
        <v>77.67</v>
      </c>
    </row>
    <row r="1218" spans="1:4" s="7" customFormat="1" ht="23.25" customHeight="1">
      <c r="A1218" s="4" t="str">
        <f>"黄晓燕"</f>
        <v>黄晓燕</v>
      </c>
      <c r="B1218" s="4" t="str">
        <f>"5860406021905"</f>
        <v>5860406021905</v>
      </c>
      <c r="C1218" s="4" t="str">
        <f t="shared" si="50"/>
        <v>600079</v>
      </c>
      <c r="D1218" s="5" t="s">
        <v>36</v>
      </c>
    </row>
    <row r="1219" spans="1:4" s="7" customFormat="1" ht="23.25" customHeight="1">
      <c r="A1219" s="4" t="str">
        <f>"曹虹"</f>
        <v>曹虹</v>
      </c>
      <c r="B1219" s="4" t="str">
        <f>"5860406021913"</f>
        <v>5860406021913</v>
      </c>
      <c r="C1219" s="4" t="str">
        <f t="shared" si="50"/>
        <v>600079</v>
      </c>
      <c r="D1219" s="5">
        <v>78.27</v>
      </c>
    </row>
    <row r="1220" spans="1:4" s="7" customFormat="1" ht="23.25" customHeight="1">
      <c r="A1220" s="4" t="str">
        <f>"李小芳"</f>
        <v>李小芳</v>
      </c>
      <c r="B1220" s="4" t="str">
        <f>"5860406021825"</f>
        <v>5860406021825</v>
      </c>
      <c r="C1220" s="4" t="str">
        <f t="shared" si="50"/>
        <v>600079</v>
      </c>
      <c r="D1220" s="5">
        <v>77.67</v>
      </c>
    </row>
    <row r="1221" spans="1:4" s="7" customFormat="1" ht="23.25" customHeight="1">
      <c r="A1221" s="4" t="str">
        <f>"蒋金金"</f>
        <v>蒋金金</v>
      </c>
      <c r="B1221" s="4" t="str">
        <f>"5860406021909"</f>
        <v>5860406021909</v>
      </c>
      <c r="C1221" s="4" t="str">
        <f t="shared" si="50"/>
        <v>600079</v>
      </c>
      <c r="D1221" s="5">
        <v>77.7</v>
      </c>
    </row>
    <row r="1222" spans="1:4" s="7" customFormat="1" ht="23.25" customHeight="1">
      <c r="A1222" s="4" t="str">
        <f>"冷双琳"</f>
        <v>冷双琳</v>
      </c>
      <c r="B1222" s="4" t="str">
        <f>"5860406011230"</f>
        <v>5860406011230</v>
      </c>
      <c r="C1222" s="4" t="str">
        <f>"600011"</f>
        <v>600011</v>
      </c>
      <c r="D1222" s="5">
        <v>82.2</v>
      </c>
    </row>
    <row r="1223" spans="1:4" s="7" customFormat="1" ht="23.25" customHeight="1">
      <c r="A1223" s="4" t="str">
        <f>"牟容莹"</f>
        <v>牟容莹</v>
      </c>
      <c r="B1223" s="4" t="str">
        <f>"5860406011224"</f>
        <v>5860406011224</v>
      </c>
      <c r="C1223" s="4" t="str">
        <f>"600011"</f>
        <v>600011</v>
      </c>
      <c r="D1223" s="5">
        <v>79.2</v>
      </c>
    </row>
    <row r="1224" spans="1:4" s="7" customFormat="1" ht="23.25" customHeight="1">
      <c r="A1224" s="4" t="str">
        <f>"侯正娟"</f>
        <v>侯正娟</v>
      </c>
      <c r="B1224" s="4" t="str">
        <f>"5860406011227"</f>
        <v>5860406011227</v>
      </c>
      <c r="C1224" s="4" t="str">
        <f>"600011"</f>
        <v>600011</v>
      </c>
      <c r="D1224" s="5">
        <v>83.8</v>
      </c>
    </row>
    <row r="1225" spans="1:4" s="7" customFormat="1" ht="23.25" customHeight="1">
      <c r="A1225" s="4" t="str">
        <f>"隆慧"</f>
        <v>隆慧</v>
      </c>
      <c r="B1225" s="4" t="str">
        <f>"5860406011310"</f>
        <v>5860406011310</v>
      </c>
      <c r="C1225" s="4" t="str">
        <f>"600012"</f>
        <v>600012</v>
      </c>
      <c r="D1225" s="5">
        <v>74.2</v>
      </c>
    </row>
    <row r="1226" spans="1:4" s="7" customFormat="1" ht="23.25" customHeight="1">
      <c r="A1226" s="4" t="str">
        <f>"毛开羽"</f>
        <v>毛开羽</v>
      </c>
      <c r="B1226" s="4" t="str">
        <f>"5860406011307"</f>
        <v>5860406011307</v>
      </c>
      <c r="C1226" s="4" t="str">
        <f>"600012"</f>
        <v>600012</v>
      </c>
      <c r="D1226" s="5">
        <v>80.8</v>
      </c>
    </row>
    <row r="1227" spans="1:4" s="7" customFormat="1" ht="23.25" customHeight="1">
      <c r="A1227" s="4" t="str">
        <f>"邓岚"</f>
        <v>邓岚</v>
      </c>
      <c r="B1227" s="4" t="str">
        <f>"5860406011312"</f>
        <v>5860406011312</v>
      </c>
      <c r="C1227" s="4" t="str">
        <f>"600013"</f>
        <v>600013</v>
      </c>
      <c r="D1227" s="5">
        <v>80.33</v>
      </c>
    </row>
    <row r="1228" spans="1:4" s="7" customFormat="1" ht="23.25" customHeight="1">
      <c r="A1228" s="4" t="str">
        <f>"冯韵熹"</f>
        <v>冯韵熹</v>
      </c>
      <c r="B1228" s="4" t="str">
        <f>"5860406011318"</f>
        <v>5860406011318</v>
      </c>
      <c r="C1228" s="4" t="str">
        <f>"600013"</f>
        <v>600013</v>
      </c>
      <c r="D1228" s="5" t="s">
        <v>36</v>
      </c>
    </row>
    <row r="1229" spans="1:4" s="7" customFormat="1" ht="23.25" customHeight="1">
      <c r="A1229" s="4" t="str">
        <f>"饶兴兰"</f>
        <v>饶兴兰</v>
      </c>
      <c r="B1229" s="4" t="str">
        <f>"5860406011311"</f>
        <v>5860406011311</v>
      </c>
      <c r="C1229" s="4" t="str">
        <f>"600013"</f>
        <v>600013</v>
      </c>
      <c r="D1229" s="5">
        <v>80.33</v>
      </c>
    </row>
    <row r="1230" spans="1:4" s="7" customFormat="1" ht="23.25" customHeight="1">
      <c r="A1230" s="4" t="str">
        <f>"伍书"</f>
        <v>伍书</v>
      </c>
      <c r="B1230" s="4" t="str">
        <f>"5860406011329"</f>
        <v>5860406011329</v>
      </c>
      <c r="C1230" s="4" t="str">
        <f>"600014"</f>
        <v>600014</v>
      </c>
      <c r="D1230" s="5">
        <v>72</v>
      </c>
    </row>
    <row r="1231" spans="1:4" s="7" customFormat="1" ht="23.25" customHeight="1">
      <c r="A1231" s="4" t="str">
        <f>"唐金"</f>
        <v>唐金</v>
      </c>
      <c r="B1231" s="4" t="str">
        <f>"5860406011330"</f>
        <v>5860406011330</v>
      </c>
      <c r="C1231" s="4" t="str">
        <f>"600014"</f>
        <v>600014</v>
      </c>
      <c r="D1231" s="5">
        <v>77.67</v>
      </c>
    </row>
    <row r="1232" spans="1:4" s="7" customFormat="1" ht="24" customHeight="1">
      <c r="A1232" s="4" t="str">
        <f>"张哲淇"</f>
        <v>张哲淇</v>
      </c>
      <c r="B1232" s="4" t="str">
        <f>"5860406011407"</f>
        <v>5860406011407</v>
      </c>
      <c r="C1232" s="4" t="str">
        <f>"600014"</f>
        <v>600014</v>
      </c>
      <c r="D1232" s="5">
        <v>73.33</v>
      </c>
    </row>
    <row r="1233" spans="1:4" s="7" customFormat="1" ht="24" customHeight="1">
      <c r="A1233" s="4" t="str">
        <f>"袁贵林"</f>
        <v>袁贵林</v>
      </c>
      <c r="B1233" s="4" t="str">
        <f>"5860406011412"</f>
        <v>5860406011412</v>
      </c>
      <c r="C1233" s="4" t="str">
        <f>"600015"</f>
        <v>600015</v>
      </c>
      <c r="D1233" s="5">
        <v>78.67</v>
      </c>
    </row>
    <row r="1234" spans="1:4" s="7" customFormat="1" ht="24" customHeight="1">
      <c r="A1234" s="4" t="str">
        <f>"何博"</f>
        <v>何博</v>
      </c>
      <c r="B1234" s="4" t="str">
        <f>"5860406011417"</f>
        <v>5860406011417</v>
      </c>
      <c r="C1234" s="4" t="str">
        <f>"600015"</f>
        <v>600015</v>
      </c>
      <c r="D1234" s="5">
        <v>70.33</v>
      </c>
    </row>
    <row r="1235" spans="1:4" s="7" customFormat="1" ht="24" customHeight="1">
      <c r="A1235" s="4" t="str">
        <f>"陈德月"</f>
        <v>陈德月</v>
      </c>
      <c r="B1235" s="4" t="str">
        <f>"5860406021020"</f>
        <v>5860406021020</v>
      </c>
      <c r="C1235" s="4" t="str">
        <f aca="true" t="shared" si="51" ref="C1235:C1253">"600074"</f>
        <v>600074</v>
      </c>
      <c r="D1235" s="8">
        <v>73.67</v>
      </c>
    </row>
    <row r="1236" spans="1:4" s="7" customFormat="1" ht="24" customHeight="1">
      <c r="A1236" s="4" t="str">
        <f>"游欢"</f>
        <v>游欢</v>
      </c>
      <c r="B1236" s="4" t="str">
        <f>"5860406021014"</f>
        <v>5860406021014</v>
      </c>
      <c r="C1236" s="4" t="str">
        <f t="shared" si="51"/>
        <v>600074</v>
      </c>
      <c r="D1236" s="8">
        <v>72.33</v>
      </c>
    </row>
    <row r="1237" spans="1:4" s="7" customFormat="1" ht="24" customHeight="1">
      <c r="A1237" s="4" t="str">
        <f>"毛献娟"</f>
        <v>毛献娟</v>
      </c>
      <c r="B1237" s="4" t="str">
        <f>"5860406021007"</f>
        <v>5860406021007</v>
      </c>
      <c r="C1237" s="4" t="str">
        <f t="shared" si="51"/>
        <v>600074</v>
      </c>
      <c r="D1237" s="8">
        <v>75.33</v>
      </c>
    </row>
    <row r="1238" spans="1:4" s="7" customFormat="1" ht="24" customHeight="1">
      <c r="A1238" s="4" t="str">
        <f>"杜晓瑜"</f>
        <v>杜晓瑜</v>
      </c>
      <c r="B1238" s="4" t="str">
        <f>"5860406021019"</f>
        <v>5860406021019</v>
      </c>
      <c r="C1238" s="4" t="str">
        <f t="shared" si="51"/>
        <v>600074</v>
      </c>
      <c r="D1238" s="8">
        <v>74</v>
      </c>
    </row>
    <row r="1239" spans="1:4" s="7" customFormat="1" ht="24" customHeight="1">
      <c r="A1239" s="4" t="str">
        <f>"黄瑜"</f>
        <v>黄瑜</v>
      </c>
      <c r="B1239" s="4" t="str">
        <f>"5860406021029"</f>
        <v>5860406021029</v>
      </c>
      <c r="C1239" s="4" t="str">
        <f t="shared" si="51"/>
        <v>600074</v>
      </c>
      <c r="D1239" s="8">
        <v>77.67</v>
      </c>
    </row>
    <row r="1240" spans="1:4" s="7" customFormat="1" ht="24" customHeight="1">
      <c r="A1240" s="4" t="str">
        <f>"杨加红"</f>
        <v>杨加红</v>
      </c>
      <c r="B1240" s="4" t="str">
        <f>"5860406021030"</f>
        <v>5860406021030</v>
      </c>
      <c r="C1240" s="4" t="str">
        <f t="shared" si="51"/>
        <v>600074</v>
      </c>
      <c r="D1240" s="8">
        <v>73.33</v>
      </c>
    </row>
    <row r="1241" spans="1:4" s="7" customFormat="1" ht="24" customHeight="1">
      <c r="A1241" s="4" t="str">
        <f>"张妍"</f>
        <v>张妍</v>
      </c>
      <c r="B1241" s="4" t="str">
        <f>"5860406021017"</f>
        <v>5860406021017</v>
      </c>
      <c r="C1241" s="4" t="str">
        <f t="shared" si="51"/>
        <v>600074</v>
      </c>
      <c r="D1241" s="8">
        <v>75.67</v>
      </c>
    </row>
    <row r="1242" spans="1:4" s="7" customFormat="1" ht="24" customHeight="1">
      <c r="A1242" s="4" t="str">
        <f>"颜津津"</f>
        <v>颜津津</v>
      </c>
      <c r="B1242" s="4" t="str">
        <f>"5860406021105"</f>
        <v>5860406021105</v>
      </c>
      <c r="C1242" s="4" t="str">
        <f t="shared" si="51"/>
        <v>600074</v>
      </c>
      <c r="D1242" s="8">
        <v>79</v>
      </c>
    </row>
    <row r="1243" spans="1:4" s="7" customFormat="1" ht="24" customHeight="1">
      <c r="A1243" s="4" t="str">
        <f>"许世芳"</f>
        <v>许世芳</v>
      </c>
      <c r="B1243" s="4" t="str">
        <f>"5860406021009"</f>
        <v>5860406021009</v>
      </c>
      <c r="C1243" s="4" t="str">
        <f t="shared" si="51"/>
        <v>600074</v>
      </c>
      <c r="D1243" s="8">
        <v>70</v>
      </c>
    </row>
    <row r="1244" spans="1:4" s="7" customFormat="1" ht="24" customHeight="1">
      <c r="A1244" s="4" t="str">
        <f>"李苗"</f>
        <v>李苗</v>
      </c>
      <c r="B1244" s="4" t="str">
        <f>"5860406021024"</f>
        <v>5860406021024</v>
      </c>
      <c r="C1244" s="4" t="str">
        <f t="shared" si="51"/>
        <v>600074</v>
      </c>
      <c r="D1244" s="8">
        <v>70</v>
      </c>
    </row>
    <row r="1245" spans="1:4" s="7" customFormat="1" ht="24" customHeight="1">
      <c r="A1245" s="4" t="str">
        <f>"罗龙雪"</f>
        <v>罗龙雪</v>
      </c>
      <c r="B1245" s="4" t="str">
        <f>"5860406021025"</f>
        <v>5860406021025</v>
      </c>
      <c r="C1245" s="4" t="str">
        <f t="shared" si="51"/>
        <v>600074</v>
      </c>
      <c r="D1245" s="8">
        <v>72</v>
      </c>
    </row>
    <row r="1246" spans="1:4" s="7" customFormat="1" ht="24" customHeight="1">
      <c r="A1246" s="4" t="str">
        <f>"王皎"</f>
        <v>王皎</v>
      </c>
      <c r="B1246" s="4" t="str">
        <f>"5860406021027"</f>
        <v>5860406021027</v>
      </c>
      <c r="C1246" s="4" t="str">
        <f t="shared" si="51"/>
        <v>600074</v>
      </c>
      <c r="D1246" s="8">
        <v>75.67</v>
      </c>
    </row>
    <row r="1247" spans="1:4" s="7" customFormat="1" ht="24" customHeight="1">
      <c r="A1247" s="4" t="str">
        <f>"张振华"</f>
        <v>张振华</v>
      </c>
      <c r="B1247" s="4" t="str">
        <f>"5860406021008"</f>
        <v>5860406021008</v>
      </c>
      <c r="C1247" s="4" t="str">
        <f t="shared" si="51"/>
        <v>600074</v>
      </c>
      <c r="D1247" s="8">
        <v>72.33</v>
      </c>
    </row>
    <row r="1248" spans="1:4" s="7" customFormat="1" ht="24" customHeight="1">
      <c r="A1248" s="4" t="str">
        <f>"王芳"</f>
        <v>王芳</v>
      </c>
      <c r="B1248" s="4" t="str">
        <f>"5860406021106"</f>
        <v>5860406021106</v>
      </c>
      <c r="C1248" s="4" t="str">
        <f t="shared" si="51"/>
        <v>600074</v>
      </c>
      <c r="D1248" s="8">
        <v>71.67</v>
      </c>
    </row>
    <row r="1249" spans="1:4" s="7" customFormat="1" ht="24" customHeight="1">
      <c r="A1249" s="4" t="str">
        <f>"赖临秋"</f>
        <v>赖临秋</v>
      </c>
      <c r="B1249" s="4" t="str">
        <f>"5860406021010"</f>
        <v>5860406021010</v>
      </c>
      <c r="C1249" s="4" t="str">
        <f t="shared" si="51"/>
        <v>600074</v>
      </c>
      <c r="D1249" s="8">
        <v>74.33</v>
      </c>
    </row>
    <row r="1250" spans="1:4" s="7" customFormat="1" ht="24" customHeight="1">
      <c r="A1250" s="4" t="str">
        <f>"周小雪"</f>
        <v>周小雪</v>
      </c>
      <c r="B1250" s="4" t="str">
        <f>"5860406021016"</f>
        <v>5860406021016</v>
      </c>
      <c r="C1250" s="4" t="str">
        <f t="shared" si="51"/>
        <v>600074</v>
      </c>
      <c r="D1250" s="8">
        <v>74.33</v>
      </c>
    </row>
    <row r="1251" spans="1:4" s="7" customFormat="1" ht="24" customHeight="1">
      <c r="A1251" s="4" t="str">
        <f>"米茹琳"</f>
        <v>米茹琳</v>
      </c>
      <c r="B1251" s="4" t="str">
        <f>"5860406021021"</f>
        <v>5860406021021</v>
      </c>
      <c r="C1251" s="4" t="str">
        <f t="shared" si="51"/>
        <v>600074</v>
      </c>
      <c r="D1251" s="8">
        <v>68</v>
      </c>
    </row>
    <row r="1252" spans="1:4" s="7" customFormat="1" ht="24" customHeight="1">
      <c r="A1252" s="4" t="str">
        <f>"张林楠"</f>
        <v>张林楠</v>
      </c>
      <c r="B1252" s="4" t="str">
        <f>"5860406021018"</f>
        <v>5860406021018</v>
      </c>
      <c r="C1252" s="4" t="str">
        <f t="shared" si="51"/>
        <v>600074</v>
      </c>
      <c r="D1252" s="8" t="s">
        <v>36</v>
      </c>
    </row>
    <row r="1253" spans="1:4" s="7" customFormat="1" ht="24" customHeight="1">
      <c r="A1253" s="4" t="str">
        <f>"罗杨"</f>
        <v>罗杨</v>
      </c>
      <c r="B1253" s="4" t="str">
        <f>"5860406021104"</f>
        <v>5860406021104</v>
      </c>
      <c r="C1253" s="4" t="str">
        <f t="shared" si="51"/>
        <v>600074</v>
      </c>
      <c r="D1253" s="8">
        <v>66.67</v>
      </c>
    </row>
  </sheetData>
  <sheetProtection password="C478" sheet="1" objects="1" scenarios="1"/>
  <mergeCells count="1">
    <mergeCell ref="A2:D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2016-07-25T13:19:14Z</cp:lastPrinted>
  <dcterms:created xsi:type="dcterms:W3CDTF">1996-12-17T01:32:42Z</dcterms:created>
  <dcterms:modified xsi:type="dcterms:W3CDTF">2016-07-25T13:24:07Z</dcterms:modified>
  <cp:category/>
  <cp:version/>
  <cp:contentType/>
  <cp:contentStatus/>
</cp:coreProperties>
</file>