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<sst xmlns="http://schemas.openxmlformats.org/spreadsheetml/2006/main" count="379" uniqueCount="39">
  <si>
    <t>附件1</t>
  </si>
  <si>
    <t>2024年度萧县中小学新任教师公开招聘资格复审人员名单</t>
  </si>
  <si>
    <t>序号</t>
  </si>
  <si>
    <t>职位代码</t>
  </si>
  <si>
    <t>准考证号</t>
  </si>
  <si>
    <t>考场号</t>
  </si>
  <si>
    <t>座位号</t>
  </si>
  <si>
    <t>职位名称</t>
  </si>
  <si>
    <t>教育综合知识成绩</t>
  </si>
  <si>
    <t>教育综合知识成绩赋分</t>
  </si>
  <si>
    <t>专业知识成绩</t>
  </si>
  <si>
    <t>专业知识成绩赋分</t>
  </si>
  <si>
    <t>政策性加分</t>
  </si>
  <si>
    <t>总分</t>
  </si>
  <si>
    <t>小学语文</t>
  </si>
  <si>
    <t>小学数学</t>
  </si>
  <si>
    <t>小学音乐</t>
  </si>
  <si>
    <t>小学体育</t>
  </si>
  <si>
    <t>小学美术</t>
  </si>
  <si>
    <t>初中语文1</t>
  </si>
  <si>
    <t>初中语文2</t>
  </si>
  <si>
    <t>初中数学1</t>
  </si>
  <si>
    <t>初中数学2</t>
  </si>
  <si>
    <t>初中英语1</t>
  </si>
  <si>
    <t>初中英语2</t>
  </si>
  <si>
    <t>初中心理健康教育</t>
  </si>
  <si>
    <t>初中物理</t>
  </si>
  <si>
    <t>初中化学</t>
  </si>
  <si>
    <t>初中生物</t>
  </si>
  <si>
    <t>高中语文</t>
  </si>
  <si>
    <t>高中数学</t>
  </si>
  <si>
    <t>高中英语</t>
  </si>
  <si>
    <t>高中物理</t>
  </si>
  <si>
    <t>高中化学</t>
  </si>
  <si>
    <t>高中生物</t>
  </si>
  <si>
    <t>高中政治</t>
  </si>
  <si>
    <t>高中地理</t>
  </si>
  <si>
    <t>高中音乐</t>
  </si>
  <si>
    <t>高中体育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</si>
</sst>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76" fontId="3" fillId="6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76" fontId="3" fillId="7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176" fontId="3" fillId="8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176" fontId="4" fillId="9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7"/>
  <sheetViews>
    <sheetView tabSelected="1" workbookViewId="0">
      <selection activeCell="F12" sqref="F12"/>
    </sheetView>
  </sheetViews>
  <sheetFormatPr defaultColWidth="9" defaultRowHeight="13.5"/>
  <cols>
    <col min="1" max="1" width="5.95" customWidth="1"/>
    <col min="3" max="3" width="13.875" customWidth="1"/>
    <col min="4" max="4" width="6.58333333333333" customWidth="1"/>
    <col min="5" max="5" width="5.825" customWidth="1"/>
    <col min="6" max="6" width="20.625" customWidth="1"/>
  </cols>
  <sheetData>
    <row r="1" s="1" customFormat="1" ht="22.5" spans="1:12">
      <c r="A1" s="2" t="s">
        <v>0</v>
      </c>
      <c r="B1" s="3" t="s">
        <v>1</v>
      </c>
      <c r="C1" s="3"/>
      <c r="D1" s="3"/>
      <c r="E1" s="3"/>
      <c r="F1" s="3"/>
      <c r="G1" s="3"/>
      <c r="H1" s="4"/>
      <c r="I1" s="3"/>
      <c r="J1" s="4"/>
      <c r="K1" s="3"/>
      <c r="L1" s="4"/>
    </row>
    <row r="2" s="1" customFormat="1" ht="40.5" spans="1:12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7" t="s">
        <v>8</v>
      </c>
      <c r="H2" s="8" t="s">
        <v>9</v>
      </c>
      <c r="I2" s="7" t="s">
        <v>10</v>
      </c>
      <c r="J2" s="8" t="s">
        <v>11</v>
      </c>
      <c r="K2" s="7" t="s">
        <v>12</v>
      </c>
      <c r="L2" s="8" t="s">
        <v>13</v>
      </c>
    </row>
    <row r="3" s="1" customFormat="1" ht="14.25" customHeight="1" spans="1:12">
      <c r="A3" s="9">
        <v>1</v>
      </c>
      <c r="B3" s="10" t="str">
        <f t="shared" ref="B3:B36" si="0">"20240301"</f>
        <v>20240301</v>
      </c>
      <c r="C3" s="10" t="str">
        <f>"2410100530"</f>
        <v>2410100530</v>
      </c>
      <c r="D3" s="10" t="str">
        <f>"005"</f>
        <v>005</v>
      </c>
      <c r="E3" s="10" t="str">
        <f>"30"</f>
        <v>30</v>
      </c>
      <c r="F3" s="11" t="s">
        <v>14</v>
      </c>
      <c r="G3" s="11">
        <v>88.5</v>
      </c>
      <c r="H3" s="12">
        <v>73.75</v>
      </c>
      <c r="I3" s="11">
        <v>85.6</v>
      </c>
      <c r="J3" s="12">
        <v>71.3333333333333</v>
      </c>
      <c r="K3" s="11"/>
      <c r="L3" s="12">
        <v>72.5416666666667</v>
      </c>
    </row>
    <row r="4" s="1" customFormat="1" ht="14.25" customHeight="1" spans="1:12">
      <c r="A4" s="9">
        <v>2</v>
      </c>
      <c r="B4" s="10" t="str">
        <f t="shared" si="0"/>
        <v>20240301</v>
      </c>
      <c r="C4" s="10" t="str">
        <f>"2410100421"</f>
        <v>2410100421</v>
      </c>
      <c r="D4" s="10" t="str">
        <f t="shared" ref="D4:D9" si="1">"004"</f>
        <v>004</v>
      </c>
      <c r="E4" s="10" t="str">
        <f>"21"</f>
        <v>21</v>
      </c>
      <c r="F4" s="11" t="s">
        <v>14</v>
      </c>
      <c r="G4" s="11">
        <v>81</v>
      </c>
      <c r="H4" s="12">
        <v>67.5</v>
      </c>
      <c r="I4" s="11">
        <v>92.8</v>
      </c>
      <c r="J4" s="12">
        <v>77.3333333333333</v>
      </c>
      <c r="K4" s="11"/>
      <c r="L4" s="12">
        <v>72.4166666666667</v>
      </c>
    </row>
    <row r="5" s="1" customFormat="1" ht="14.25" customHeight="1" spans="1:12">
      <c r="A5" s="9">
        <v>3</v>
      </c>
      <c r="B5" s="13" t="str">
        <f t="shared" si="0"/>
        <v>20240301</v>
      </c>
      <c r="C5" s="10" t="str">
        <f>"2410100425"</f>
        <v>2410100425</v>
      </c>
      <c r="D5" s="10" t="str">
        <f t="shared" si="1"/>
        <v>004</v>
      </c>
      <c r="E5" s="10" t="str">
        <f>"25"</f>
        <v>25</v>
      </c>
      <c r="F5" s="11" t="s">
        <v>14</v>
      </c>
      <c r="G5" s="11">
        <v>80.5</v>
      </c>
      <c r="H5" s="12">
        <v>67.0833333333333</v>
      </c>
      <c r="I5" s="11">
        <v>91.8</v>
      </c>
      <c r="J5" s="12">
        <v>76.5</v>
      </c>
      <c r="K5" s="11"/>
      <c r="L5" s="12">
        <v>71.7916666666667</v>
      </c>
    </row>
    <row r="6" s="1" customFormat="1" ht="14.25" customHeight="1" spans="1:12">
      <c r="A6" s="9">
        <v>4</v>
      </c>
      <c r="B6" s="13" t="str">
        <f t="shared" si="0"/>
        <v>20240301</v>
      </c>
      <c r="C6" s="10" t="str">
        <f>"2410101805"</f>
        <v>2410101805</v>
      </c>
      <c r="D6" s="10" t="str">
        <f>"018"</f>
        <v>018</v>
      </c>
      <c r="E6" s="10" t="str">
        <f>"05"</f>
        <v>05</v>
      </c>
      <c r="F6" s="11" t="s">
        <v>14</v>
      </c>
      <c r="G6" s="11">
        <v>85.5</v>
      </c>
      <c r="H6" s="12">
        <v>71.25</v>
      </c>
      <c r="I6" s="11">
        <v>83.9</v>
      </c>
      <c r="J6" s="12">
        <v>69.9166666666667</v>
      </c>
      <c r="K6" s="11"/>
      <c r="L6" s="12">
        <v>70.5833333333333</v>
      </c>
    </row>
    <row r="7" s="1" customFormat="1" ht="14.25" customHeight="1" spans="1:12">
      <c r="A7" s="9">
        <v>5</v>
      </c>
      <c r="B7" s="13" t="str">
        <f t="shared" si="0"/>
        <v>20240301</v>
      </c>
      <c r="C7" s="10" t="str">
        <f>"2410100820"</f>
        <v>2410100820</v>
      </c>
      <c r="D7" s="10" t="str">
        <f>"008"</f>
        <v>008</v>
      </c>
      <c r="E7" s="10" t="str">
        <f>"20"</f>
        <v>20</v>
      </c>
      <c r="F7" s="11" t="s">
        <v>14</v>
      </c>
      <c r="G7" s="11">
        <v>88.5</v>
      </c>
      <c r="H7" s="12">
        <v>73.75</v>
      </c>
      <c r="I7" s="11">
        <v>80.7</v>
      </c>
      <c r="J7" s="12">
        <v>67.25</v>
      </c>
      <c r="K7" s="11"/>
      <c r="L7" s="12">
        <v>70.5</v>
      </c>
    </row>
    <row r="8" s="1" customFormat="1" ht="14.25" customHeight="1" spans="1:12">
      <c r="A8" s="9">
        <v>6</v>
      </c>
      <c r="B8" s="13" t="str">
        <f t="shared" si="0"/>
        <v>20240301</v>
      </c>
      <c r="C8" s="10" t="str">
        <f>"2410103611"</f>
        <v>2410103611</v>
      </c>
      <c r="D8" s="10" t="str">
        <f>"036"</f>
        <v>036</v>
      </c>
      <c r="E8" s="10" t="str">
        <f>"11"</f>
        <v>11</v>
      </c>
      <c r="F8" s="11" t="s">
        <v>14</v>
      </c>
      <c r="G8" s="11">
        <v>85</v>
      </c>
      <c r="H8" s="12">
        <v>70.8333333333333</v>
      </c>
      <c r="I8" s="11">
        <v>84</v>
      </c>
      <c r="J8" s="12">
        <v>70</v>
      </c>
      <c r="K8" s="11"/>
      <c r="L8" s="12">
        <v>70.4166666666667</v>
      </c>
    </row>
    <row r="9" s="1" customFormat="1" ht="14.25" customHeight="1" spans="1:12">
      <c r="A9" s="9">
        <v>7</v>
      </c>
      <c r="B9" s="13" t="str">
        <f t="shared" si="0"/>
        <v>20240301</v>
      </c>
      <c r="C9" s="10" t="str">
        <f>"2410100417"</f>
        <v>2410100417</v>
      </c>
      <c r="D9" s="10" t="str">
        <f t="shared" si="1"/>
        <v>004</v>
      </c>
      <c r="E9" s="10" t="str">
        <f>"17"</f>
        <v>17</v>
      </c>
      <c r="F9" s="11" t="s">
        <v>14</v>
      </c>
      <c r="G9" s="11">
        <v>86.5</v>
      </c>
      <c r="H9" s="12">
        <v>72.0833333333333</v>
      </c>
      <c r="I9" s="11">
        <v>82.4</v>
      </c>
      <c r="J9" s="12">
        <v>68.6666666666667</v>
      </c>
      <c r="K9" s="11"/>
      <c r="L9" s="12">
        <v>70.375</v>
      </c>
    </row>
    <row r="10" s="1" customFormat="1" ht="14.25" customHeight="1" spans="1:12">
      <c r="A10" s="9">
        <v>8</v>
      </c>
      <c r="B10" s="13" t="str">
        <f t="shared" si="0"/>
        <v>20240301</v>
      </c>
      <c r="C10" s="10" t="str">
        <f>"2410103623"</f>
        <v>2410103623</v>
      </c>
      <c r="D10" s="10" t="str">
        <f>"036"</f>
        <v>036</v>
      </c>
      <c r="E10" s="10" t="str">
        <f>"23"</f>
        <v>23</v>
      </c>
      <c r="F10" s="11" t="s">
        <v>14</v>
      </c>
      <c r="G10" s="11">
        <v>84</v>
      </c>
      <c r="H10" s="12">
        <v>70</v>
      </c>
      <c r="I10" s="11">
        <v>83.4</v>
      </c>
      <c r="J10" s="12">
        <v>69.5</v>
      </c>
      <c r="K10" s="11"/>
      <c r="L10" s="12">
        <v>69.75</v>
      </c>
    </row>
    <row r="11" s="1" customFormat="1" ht="14.25" customHeight="1" spans="1:12">
      <c r="A11" s="9">
        <v>9</v>
      </c>
      <c r="B11" s="13" t="str">
        <f t="shared" si="0"/>
        <v>20240301</v>
      </c>
      <c r="C11" s="10" t="str">
        <f>"2410103103"</f>
        <v>2410103103</v>
      </c>
      <c r="D11" s="10" t="str">
        <f>"031"</f>
        <v>031</v>
      </c>
      <c r="E11" s="10" t="str">
        <f>"03"</f>
        <v>03</v>
      </c>
      <c r="F11" s="11" t="s">
        <v>14</v>
      </c>
      <c r="G11" s="11">
        <v>85</v>
      </c>
      <c r="H11" s="12">
        <v>70.8333333333333</v>
      </c>
      <c r="I11" s="11">
        <v>80.9</v>
      </c>
      <c r="J11" s="12">
        <v>67.4166666666667</v>
      </c>
      <c r="K11" s="11"/>
      <c r="L11" s="12">
        <v>69.125</v>
      </c>
    </row>
    <row r="12" s="1" customFormat="1" ht="14.25" customHeight="1" spans="1:12">
      <c r="A12" s="9">
        <v>10</v>
      </c>
      <c r="B12" s="13" t="str">
        <f t="shared" si="0"/>
        <v>20240301</v>
      </c>
      <c r="C12" s="10" t="str">
        <f>"2410101417"</f>
        <v>2410101417</v>
      </c>
      <c r="D12" s="10" t="str">
        <f>"014"</f>
        <v>014</v>
      </c>
      <c r="E12" s="10" t="str">
        <f>"17"</f>
        <v>17</v>
      </c>
      <c r="F12" s="11" t="s">
        <v>14</v>
      </c>
      <c r="G12" s="11">
        <v>84</v>
      </c>
      <c r="H12" s="12">
        <v>70</v>
      </c>
      <c r="I12" s="11">
        <v>81.6</v>
      </c>
      <c r="J12" s="12">
        <v>68</v>
      </c>
      <c r="K12" s="11"/>
      <c r="L12" s="12">
        <v>69</v>
      </c>
    </row>
    <row r="13" s="1" customFormat="1" ht="14.25" customHeight="1" spans="1:12">
      <c r="A13" s="9">
        <v>11</v>
      </c>
      <c r="B13" s="13" t="str">
        <f t="shared" si="0"/>
        <v>20240301</v>
      </c>
      <c r="C13" s="10" t="str">
        <f>"2410101413"</f>
        <v>2410101413</v>
      </c>
      <c r="D13" s="10" t="str">
        <f>"014"</f>
        <v>014</v>
      </c>
      <c r="E13" s="10" t="str">
        <f>"13"</f>
        <v>13</v>
      </c>
      <c r="F13" s="11" t="s">
        <v>14</v>
      </c>
      <c r="G13" s="11">
        <v>87.5</v>
      </c>
      <c r="H13" s="12">
        <v>72.9166666666667</v>
      </c>
      <c r="I13" s="11">
        <v>77.7</v>
      </c>
      <c r="J13" s="12">
        <v>64.75</v>
      </c>
      <c r="K13" s="11"/>
      <c r="L13" s="12">
        <v>68.8333333333333</v>
      </c>
    </row>
    <row r="14" s="1" customFormat="1" ht="14.25" customHeight="1" spans="1:12">
      <c r="A14" s="9">
        <v>12</v>
      </c>
      <c r="B14" s="13" t="str">
        <f t="shared" si="0"/>
        <v>20240301</v>
      </c>
      <c r="C14" s="10" t="str">
        <f>"2410102816"</f>
        <v>2410102816</v>
      </c>
      <c r="D14" s="10" t="str">
        <f>"028"</f>
        <v>028</v>
      </c>
      <c r="E14" s="10" t="str">
        <f>"16"</f>
        <v>16</v>
      </c>
      <c r="F14" s="11" t="s">
        <v>14</v>
      </c>
      <c r="G14" s="11">
        <v>79</v>
      </c>
      <c r="H14" s="12">
        <v>65.8333333333333</v>
      </c>
      <c r="I14" s="11">
        <v>85.4</v>
      </c>
      <c r="J14" s="12">
        <v>71.1666666666667</v>
      </c>
      <c r="K14" s="11"/>
      <c r="L14" s="12">
        <v>68.5</v>
      </c>
    </row>
    <row r="15" s="1" customFormat="1" ht="14.25" customHeight="1" spans="1:12">
      <c r="A15" s="9">
        <v>13</v>
      </c>
      <c r="B15" s="13" t="str">
        <f t="shared" si="0"/>
        <v>20240301</v>
      </c>
      <c r="C15" s="10" t="str">
        <f>"2410100714"</f>
        <v>2410100714</v>
      </c>
      <c r="D15" s="10" t="str">
        <f>"007"</f>
        <v>007</v>
      </c>
      <c r="E15" s="10" t="str">
        <f>"14"</f>
        <v>14</v>
      </c>
      <c r="F15" s="11" t="s">
        <v>14</v>
      </c>
      <c r="G15" s="11">
        <v>77.5</v>
      </c>
      <c r="H15" s="12">
        <v>64.5833333333333</v>
      </c>
      <c r="I15" s="11">
        <v>85.9</v>
      </c>
      <c r="J15" s="12">
        <v>71.5833333333333</v>
      </c>
      <c r="K15" s="11"/>
      <c r="L15" s="12">
        <v>68.0833333333333</v>
      </c>
    </row>
    <row r="16" s="1" customFormat="1" ht="14.25" customHeight="1" spans="1:12">
      <c r="A16" s="9">
        <v>14</v>
      </c>
      <c r="B16" s="13" t="str">
        <f t="shared" si="0"/>
        <v>20240301</v>
      </c>
      <c r="C16" s="10" t="str">
        <f>"2410100315"</f>
        <v>2410100315</v>
      </c>
      <c r="D16" s="10" t="str">
        <f>"003"</f>
        <v>003</v>
      </c>
      <c r="E16" s="10" t="str">
        <f>"15"</f>
        <v>15</v>
      </c>
      <c r="F16" s="11" t="s">
        <v>14</v>
      </c>
      <c r="G16" s="11">
        <v>80.5</v>
      </c>
      <c r="H16" s="12">
        <v>67.0833333333333</v>
      </c>
      <c r="I16" s="11">
        <v>82.7</v>
      </c>
      <c r="J16" s="12">
        <v>68.9166666666667</v>
      </c>
      <c r="K16" s="11"/>
      <c r="L16" s="12">
        <v>68</v>
      </c>
    </row>
    <row r="17" s="1" customFormat="1" ht="14.25" customHeight="1" spans="1:12">
      <c r="A17" s="9">
        <v>15</v>
      </c>
      <c r="B17" s="13" t="str">
        <f t="shared" si="0"/>
        <v>20240301</v>
      </c>
      <c r="C17" s="10" t="str">
        <f>"2410100320"</f>
        <v>2410100320</v>
      </c>
      <c r="D17" s="10" t="str">
        <f>"003"</f>
        <v>003</v>
      </c>
      <c r="E17" s="10" t="str">
        <f>"20"</f>
        <v>20</v>
      </c>
      <c r="F17" s="11" t="s">
        <v>14</v>
      </c>
      <c r="G17" s="11">
        <v>82</v>
      </c>
      <c r="H17" s="12">
        <v>68.3333333333333</v>
      </c>
      <c r="I17" s="11">
        <v>81.2</v>
      </c>
      <c r="J17" s="12">
        <v>67.6666666666667</v>
      </c>
      <c r="K17" s="11"/>
      <c r="L17" s="12">
        <v>68</v>
      </c>
    </row>
    <row r="18" s="1" customFormat="1" ht="14.25" customHeight="1" spans="1:12">
      <c r="A18" s="9">
        <v>16</v>
      </c>
      <c r="B18" s="13" t="str">
        <f t="shared" si="0"/>
        <v>20240301</v>
      </c>
      <c r="C18" s="10" t="str">
        <f>"2410101621"</f>
        <v>2410101621</v>
      </c>
      <c r="D18" s="10" t="str">
        <f>"016"</f>
        <v>016</v>
      </c>
      <c r="E18" s="10" t="str">
        <f>"21"</f>
        <v>21</v>
      </c>
      <c r="F18" s="11" t="s">
        <v>14</v>
      </c>
      <c r="G18" s="11">
        <v>88.5</v>
      </c>
      <c r="H18" s="12">
        <v>73.75</v>
      </c>
      <c r="I18" s="11">
        <v>74.7</v>
      </c>
      <c r="J18" s="12">
        <v>62.25</v>
      </c>
      <c r="K18" s="11"/>
      <c r="L18" s="12">
        <v>68</v>
      </c>
    </row>
    <row r="19" s="1" customFormat="1" ht="14.25" customHeight="1" spans="1:12">
      <c r="A19" s="9">
        <v>17</v>
      </c>
      <c r="B19" s="13" t="str">
        <f t="shared" si="0"/>
        <v>20240301</v>
      </c>
      <c r="C19" s="10" t="str">
        <f>"2410102015"</f>
        <v>2410102015</v>
      </c>
      <c r="D19" s="10" t="str">
        <f>"020"</f>
        <v>020</v>
      </c>
      <c r="E19" s="10" t="str">
        <f>"15"</f>
        <v>15</v>
      </c>
      <c r="F19" s="11" t="s">
        <v>14</v>
      </c>
      <c r="G19" s="11">
        <v>83</v>
      </c>
      <c r="H19" s="12">
        <v>69.1666666666667</v>
      </c>
      <c r="I19" s="11">
        <v>80.1</v>
      </c>
      <c r="J19" s="12">
        <v>66.75</v>
      </c>
      <c r="K19" s="11"/>
      <c r="L19" s="12">
        <v>67.9583333333333</v>
      </c>
    </row>
    <row r="20" s="1" customFormat="1" ht="14.25" customHeight="1" spans="1:12">
      <c r="A20" s="9">
        <v>18</v>
      </c>
      <c r="B20" s="13" t="str">
        <f t="shared" si="0"/>
        <v>20240301</v>
      </c>
      <c r="C20" s="10" t="str">
        <f>"2410104004"</f>
        <v>2410104004</v>
      </c>
      <c r="D20" s="10" t="str">
        <f>"040"</f>
        <v>040</v>
      </c>
      <c r="E20" s="10" t="str">
        <f>"04"</f>
        <v>04</v>
      </c>
      <c r="F20" s="11" t="s">
        <v>14</v>
      </c>
      <c r="G20" s="11">
        <v>86</v>
      </c>
      <c r="H20" s="12">
        <v>71.6666666666667</v>
      </c>
      <c r="I20" s="11">
        <v>77.1</v>
      </c>
      <c r="J20" s="12">
        <v>64.25</v>
      </c>
      <c r="K20" s="11"/>
      <c r="L20" s="12">
        <v>67.9583333333333</v>
      </c>
    </row>
    <row r="21" s="1" customFormat="1" ht="14.25" customHeight="1" spans="1:12">
      <c r="A21" s="9">
        <v>19</v>
      </c>
      <c r="B21" s="13" t="str">
        <f t="shared" si="0"/>
        <v>20240301</v>
      </c>
      <c r="C21" s="10" t="str">
        <f>"2410101328"</f>
        <v>2410101328</v>
      </c>
      <c r="D21" s="10" t="str">
        <f>"013"</f>
        <v>013</v>
      </c>
      <c r="E21" s="10" t="str">
        <f>"28"</f>
        <v>28</v>
      </c>
      <c r="F21" s="11" t="s">
        <v>14</v>
      </c>
      <c r="G21" s="11">
        <v>75</v>
      </c>
      <c r="H21" s="12">
        <v>62.5</v>
      </c>
      <c r="I21" s="11">
        <v>87.9</v>
      </c>
      <c r="J21" s="12">
        <v>73.25</v>
      </c>
      <c r="K21" s="11"/>
      <c r="L21" s="12">
        <v>67.875</v>
      </c>
    </row>
    <row r="22" s="1" customFormat="1" ht="14.25" customHeight="1" spans="1:12">
      <c r="A22" s="9">
        <v>20</v>
      </c>
      <c r="B22" s="13" t="str">
        <f t="shared" si="0"/>
        <v>20240301</v>
      </c>
      <c r="C22" s="10" t="str">
        <f>"2410102207"</f>
        <v>2410102207</v>
      </c>
      <c r="D22" s="10" t="str">
        <f>"022"</f>
        <v>022</v>
      </c>
      <c r="E22" s="10" t="str">
        <f>"07"</f>
        <v>07</v>
      </c>
      <c r="F22" s="11" t="s">
        <v>14</v>
      </c>
      <c r="G22" s="11">
        <v>89.5</v>
      </c>
      <c r="H22" s="12">
        <v>74.5833333333333</v>
      </c>
      <c r="I22" s="11">
        <v>73.4</v>
      </c>
      <c r="J22" s="12">
        <v>61.1666666666667</v>
      </c>
      <c r="K22" s="11"/>
      <c r="L22" s="12">
        <v>67.875</v>
      </c>
    </row>
    <row r="23" s="1" customFormat="1" ht="14.25" customHeight="1" spans="1:12">
      <c r="A23" s="9">
        <v>21</v>
      </c>
      <c r="B23" s="13" t="str">
        <f t="shared" si="0"/>
        <v>20240301</v>
      </c>
      <c r="C23" s="10" t="str">
        <f>"2410103313"</f>
        <v>2410103313</v>
      </c>
      <c r="D23" s="10" t="str">
        <f>"033"</f>
        <v>033</v>
      </c>
      <c r="E23" s="10" t="str">
        <f>"13"</f>
        <v>13</v>
      </c>
      <c r="F23" s="11" t="s">
        <v>14</v>
      </c>
      <c r="G23" s="11">
        <v>82</v>
      </c>
      <c r="H23" s="12">
        <v>68.3333333333333</v>
      </c>
      <c r="I23" s="11">
        <v>80.9</v>
      </c>
      <c r="J23" s="12">
        <v>67.4166666666667</v>
      </c>
      <c r="K23" s="11"/>
      <c r="L23" s="12">
        <v>67.875</v>
      </c>
    </row>
    <row r="24" s="1" customFormat="1" ht="14.25" customHeight="1" spans="1:12">
      <c r="A24" s="9">
        <v>22</v>
      </c>
      <c r="B24" s="13" t="str">
        <f t="shared" si="0"/>
        <v>20240301</v>
      </c>
      <c r="C24" s="10" t="str">
        <f>"2410104319"</f>
        <v>2410104319</v>
      </c>
      <c r="D24" s="10" t="str">
        <f>"043"</f>
        <v>043</v>
      </c>
      <c r="E24" s="10" t="str">
        <f>"19"</f>
        <v>19</v>
      </c>
      <c r="F24" s="11" t="s">
        <v>14</v>
      </c>
      <c r="G24" s="11">
        <v>85.5</v>
      </c>
      <c r="H24" s="12">
        <v>71.25</v>
      </c>
      <c r="I24" s="11">
        <v>77.4</v>
      </c>
      <c r="J24" s="12">
        <v>64.5</v>
      </c>
      <c r="K24" s="11"/>
      <c r="L24" s="12">
        <v>67.875</v>
      </c>
    </row>
    <row r="25" s="1" customFormat="1" ht="14.25" customHeight="1" spans="1:12">
      <c r="A25" s="9">
        <v>23</v>
      </c>
      <c r="B25" s="13" t="str">
        <f t="shared" si="0"/>
        <v>20240301</v>
      </c>
      <c r="C25" s="10" t="str">
        <f>"2410104112"</f>
        <v>2410104112</v>
      </c>
      <c r="D25" s="10" t="str">
        <f>"041"</f>
        <v>041</v>
      </c>
      <c r="E25" s="10" t="str">
        <f>"12"</f>
        <v>12</v>
      </c>
      <c r="F25" s="11" t="s">
        <v>14</v>
      </c>
      <c r="G25" s="11">
        <v>82.5</v>
      </c>
      <c r="H25" s="12">
        <v>68.75</v>
      </c>
      <c r="I25" s="11">
        <v>80.3</v>
      </c>
      <c r="J25" s="12">
        <v>66.9166666666667</v>
      </c>
      <c r="K25" s="11"/>
      <c r="L25" s="12">
        <v>67.8333333333333</v>
      </c>
    </row>
    <row r="26" s="1" customFormat="1" ht="14.25" customHeight="1" spans="1:12">
      <c r="A26" s="9">
        <v>24</v>
      </c>
      <c r="B26" s="13" t="str">
        <f t="shared" si="0"/>
        <v>20240301</v>
      </c>
      <c r="C26" s="10" t="str">
        <f>"2410103618"</f>
        <v>2410103618</v>
      </c>
      <c r="D26" s="10" t="str">
        <f>"036"</f>
        <v>036</v>
      </c>
      <c r="E26" s="10" t="str">
        <f>"18"</f>
        <v>18</v>
      </c>
      <c r="F26" s="11" t="s">
        <v>14</v>
      </c>
      <c r="G26" s="11">
        <v>76.5</v>
      </c>
      <c r="H26" s="12">
        <v>63.75</v>
      </c>
      <c r="I26" s="11">
        <v>85.9</v>
      </c>
      <c r="J26" s="12">
        <v>71.5833333333333</v>
      </c>
      <c r="K26" s="11"/>
      <c r="L26" s="12">
        <v>67.6666666666667</v>
      </c>
    </row>
    <row r="27" s="1" customFormat="1" ht="14.25" customHeight="1" spans="1:12">
      <c r="A27" s="9">
        <v>25</v>
      </c>
      <c r="B27" s="13" t="str">
        <f t="shared" si="0"/>
        <v>20240301</v>
      </c>
      <c r="C27" s="10" t="str">
        <f>"2410102230"</f>
        <v>2410102230</v>
      </c>
      <c r="D27" s="10" t="str">
        <f>"022"</f>
        <v>022</v>
      </c>
      <c r="E27" s="10" t="str">
        <f>"30"</f>
        <v>30</v>
      </c>
      <c r="F27" s="11" t="s">
        <v>14</v>
      </c>
      <c r="G27" s="11">
        <v>80.5</v>
      </c>
      <c r="H27" s="12">
        <v>67.0833333333333</v>
      </c>
      <c r="I27" s="11">
        <v>81.8</v>
      </c>
      <c r="J27" s="12">
        <v>68.1666666666667</v>
      </c>
      <c r="K27" s="11"/>
      <c r="L27" s="12">
        <v>67.625</v>
      </c>
    </row>
    <row r="28" s="1" customFormat="1" ht="14.25" customHeight="1" spans="1:12">
      <c r="A28" s="9">
        <v>26</v>
      </c>
      <c r="B28" s="13" t="str">
        <f t="shared" si="0"/>
        <v>20240301</v>
      </c>
      <c r="C28" s="10" t="str">
        <f>"2410103705"</f>
        <v>2410103705</v>
      </c>
      <c r="D28" s="10" t="str">
        <f>"037"</f>
        <v>037</v>
      </c>
      <c r="E28" s="10" t="str">
        <f>"05"</f>
        <v>05</v>
      </c>
      <c r="F28" s="11" t="s">
        <v>14</v>
      </c>
      <c r="G28" s="11">
        <v>77</v>
      </c>
      <c r="H28" s="12">
        <v>64.1666666666667</v>
      </c>
      <c r="I28" s="11">
        <v>84.9</v>
      </c>
      <c r="J28" s="12">
        <v>70.75</v>
      </c>
      <c r="K28" s="11"/>
      <c r="L28" s="12">
        <v>67.4583333333333</v>
      </c>
    </row>
    <row r="29" s="1" customFormat="1" ht="14.25" customHeight="1" spans="1:12">
      <c r="A29" s="9">
        <v>27</v>
      </c>
      <c r="B29" s="13" t="str">
        <f t="shared" si="0"/>
        <v>20240301</v>
      </c>
      <c r="C29" s="10" t="str">
        <f>"2410101820"</f>
        <v>2410101820</v>
      </c>
      <c r="D29" s="10" t="str">
        <f>"018"</f>
        <v>018</v>
      </c>
      <c r="E29" s="10" t="str">
        <f>"20"</f>
        <v>20</v>
      </c>
      <c r="F29" s="11" t="s">
        <v>14</v>
      </c>
      <c r="G29" s="11">
        <v>76</v>
      </c>
      <c r="H29" s="12">
        <v>63.3333333333333</v>
      </c>
      <c r="I29" s="11">
        <v>85.7</v>
      </c>
      <c r="J29" s="12">
        <v>71.4166666666667</v>
      </c>
      <c r="K29" s="11"/>
      <c r="L29" s="12">
        <v>67.375</v>
      </c>
    </row>
    <row r="30" s="1" customFormat="1" ht="14.25" customHeight="1" spans="1:12">
      <c r="A30" s="9">
        <v>28</v>
      </c>
      <c r="B30" s="13" t="str">
        <f t="shared" si="0"/>
        <v>20240301</v>
      </c>
      <c r="C30" s="10" t="str">
        <f>"2410103525"</f>
        <v>2410103525</v>
      </c>
      <c r="D30" s="10" t="str">
        <f>"035"</f>
        <v>035</v>
      </c>
      <c r="E30" s="10" t="str">
        <f>"25"</f>
        <v>25</v>
      </c>
      <c r="F30" s="11" t="s">
        <v>14</v>
      </c>
      <c r="G30" s="11">
        <v>80.5</v>
      </c>
      <c r="H30" s="12">
        <v>67.0833333333333</v>
      </c>
      <c r="I30" s="11">
        <v>80.6</v>
      </c>
      <c r="J30" s="12">
        <v>67.1666666666667</v>
      </c>
      <c r="K30" s="11"/>
      <c r="L30" s="12">
        <v>67.125</v>
      </c>
    </row>
    <row r="31" s="1" customFormat="1" ht="14.25" customHeight="1" spans="1:12">
      <c r="A31" s="9">
        <v>29</v>
      </c>
      <c r="B31" s="13" t="str">
        <f t="shared" si="0"/>
        <v>20240301</v>
      </c>
      <c r="C31" s="10" t="str">
        <f>"2410100209"</f>
        <v>2410100209</v>
      </c>
      <c r="D31" s="10" t="str">
        <f>"002"</f>
        <v>002</v>
      </c>
      <c r="E31" s="10" t="str">
        <f>"09"</f>
        <v>09</v>
      </c>
      <c r="F31" s="11" t="s">
        <v>14</v>
      </c>
      <c r="G31" s="11">
        <v>80</v>
      </c>
      <c r="H31" s="12">
        <v>66.6666666666667</v>
      </c>
      <c r="I31" s="11">
        <v>80.7</v>
      </c>
      <c r="J31" s="12">
        <v>67.25</v>
      </c>
      <c r="K31" s="11"/>
      <c r="L31" s="12">
        <v>66.9583333333333</v>
      </c>
    </row>
    <row r="32" s="1" customFormat="1" ht="14.25" customHeight="1" spans="1:12">
      <c r="A32" s="9">
        <v>30</v>
      </c>
      <c r="B32" s="13" t="str">
        <f t="shared" si="0"/>
        <v>20240301</v>
      </c>
      <c r="C32" s="10" t="str">
        <f>"2410100222"</f>
        <v>2410100222</v>
      </c>
      <c r="D32" s="10" t="str">
        <f>"002"</f>
        <v>002</v>
      </c>
      <c r="E32" s="10" t="str">
        <f>"22"</f>
        <v>22</v>
      </c>
      <c r="F32" s="11" t="s">
        <v>14</v>
      </c>
      <c r="G32" s="11">
        <v>82</v>
      </c>
      <c r="H32" s="12">
        <v>68.3333333333333</v>
      </c>
      <c r="I32" s="11">
        <v>78.5</v>
      </c>
      <c r="J32" s="12">
        <v>65.4166666666667</v>
      </c>
      <c r="K32" s="11"/>
      <c r="L32" s="12">
        <v>66.875</v>
      </c>
    </row>
    <row r="33" s="1" customFormat="1" ht="14.25" customHeight="1" spans="1:12">
      <c r="A33" s="9">
        <v>31</v>
      </c>
      <c r="B33" s="13" t="str">
        <f t="shared" si="0"/>
        <v>20240301</v>
      </c>
      <c r="C33" s="10" t="str">
        <f>"2410101730"</f>
        <v>2410101730</v>
      </c>
      <c r="D33" s="10" t="str">
        <f>"017"</f>
        <v>017</v>
      </c>
      <c r="E33" s="10" t="str">
        <f>"30"</f>
        <v>30</v>
      </c>
      <c r="F33" s="11" t="s">
        <v>14</v>
      </c>
      <c r="G33" s="11">
        <v>81.5</v>
      </c>
      <c r="H33" s="12">
        <v>67.9166666666667</v>
      </c>
      <c r="I33" s="11">
        <v>78.7</v>
      </c>
      <c r="J33" s="12">
        <v>65.5833333333333</v>
      </c>
      <c r="K33" s="11"/>
      <c r="L33" s="12">
        <v>66.75</v>
      </c>
    </row>
    <row r="34" s="1" customFormat="1" ht="14.25" customHeight="1" spans="1:12">
      <c r="A34" s="9">
        <v>32</v>
      </c>
      <c r="B34" s="13" t="str">
        <f t="shared" si="0"/>
        <v>20240301</v>
      </c>
      <c r="C34" s="10" t="str">
        <f>"2410101416"</f>
        <v>2410101416</v>
      </c>
      <c r="D34" s="10" t="str">
        <f>"014"</f>
        <v>014</v>
      </c>
      <c r="E34" s="10" t="str">
        <f>"16"</f>
        <v>16</v>
      </c>
      <c r="F34" s="11" t="s">
        <v>14</v>
      </c>
      <c r="G34" s="11">
        <v>75.5</v>
      </c>
      <c r="H34" s="12">
        <v>62.9166666666667</v>
      </c>
      <c r="I34" s="11">
        <v>84.4</v>
      </c>
      <c r="J34" s="12">
        <v>70.3333333333333</v>
      </c>
      <c r="K34" s="11"/>
      <c r="L34" s="12">
        <v>66.625</v>
      </c>
    </row>
    <row r="35" s="1" customFormat="1" ht="14.25" customHeight="1" spans="1:12">
      <c r="A35" s="9">
        <v>33</v>
      </c>
      <c r="B35" s="13" t="str">
        <f t="shared" si="0"/>
        <v>20240301</v>
      </c>
      <c r="C35" s="10" t="str">
        <f>"2410100630"</f>
        <v>2410100630</v>
      </c>
      <c r="D35" s="10" t="str">
        <f>"006"</f>
        <v>006</v>
      </c>
      <c r="E35" s="10" t="str">
        <f>"30"</f>
        <v>30</v>
      </c>
      <c r="F35" s="11" t="s">
        <v>14</v>
      </c>
      <c r="G35" s="11">
        <v>76</v>
      </c>
      <c r="H35" s="12">
        <v>63.3333333333333</v>
      </c>
      <c r="I35" s="11">
        <v>83.7</v>
      </c>
      <c r="J35" s="12">
        <v>69.75</v>
      </c>
      <c r="K35" s="11"/>
      <c r="L35" s="12">
        <v>66.5416666666667</v>
      </c>
    </row>
    <row r="36" s="1" customFormat="1" ht="14.25" customHeight="1" spans="1:12">
      <c r="A36" s="9">
        <v>34</v>
      </c>
      <c r="B36" s="13" t="str">
        <f t="shared" si="0"/>
        <v>20240301</v>
      </c>
      <c r="C36" s="10" t="str">
        <f>"2410104322"</f>
        <v>2410104322</v>
      </c>
      <c r="D36" s="10" t="str">
        <f>"043"</f>
        <v>043</v>
      </c>
      <c r="E36" s="10" t="str">
        <f>"22"</f>
        <v>22</v>
      </c>
      <c r="F36" s="11" t="s">
        <v>14</v>
      </c>
      <c r="G36" s="11">
        <v>78.5</v>
      </c>
      <c r="H36" s="12">
        <v>65.4166666666667</v>
      </c>
      <c r="I36" s="11">
        <v>81.2</v>
      </c>
      <c r="J36" s="12">
        <v>67.6666666666667</v>
      </c>
      <c r="K36" s="11"/>
      <c r="L36" s="12">
        <v>66.5416666666667</v>
      </c>
    </row>
    <row r="37" ht="14.25" customHeight="1" spans="1:12">
      <c r="A37" s="14">
        <v>1</v>
      </c>
      <c r="B37" s="15" t="str">
        <f t="shared" ref="B37:B67" si="2">"20240302"</f>
        <v>20240302</v>
      </c>
      <c r="C37" s="16" t="str">
        <f>"2410106917"</f>
        <v>2410106917</v>
      </c>
      <c r="D37" s="16" t="str">
        <f>"069"</f>
        <v>069</v>
      </c>
      <c r="E37" s="16" t="str">
        <f>"17"</f>
        <v>17</v>
      </c>
      <c r="F37" s="17" t="s">
        <v>15</v>
      </c>
      <c r="G37" s="17">
        <v>84</v>
      </c>
      <c r="H37" s="18">
        <v>70</v>
      </c>
      <c r="I37" s="17">
        <v>98.1</v>
      </c>
      <c r="J37" s="18">
        <v>81.75</v>
      </c>
      <c r="K37" s="17"/>
      <c r="L37" s="18">
        <v>75.875</v>
      </c>
    </row>
    <row r="38" ht="14.25" customHeight="1" spans="1:12">
      <c r="A38" s="14">
        <v>2</v>
      </c>
      <c r="B38" s="15" t="str">
        <f t="shared" si="2"/>
        <v>20240302</v>
      </c>
      <c r="C38" s="16" t="str">
        <f>"2410106418"</f>
        <v>2410106418</v>
      </c>
      <c r="D38" s="16" t="str">
        <f>"064"</f>
        <v>064</v>
      </c>
      <c r="E38" s="16" t="str">
        <f>"18"</f>
        <v>18</v>
      </c>
      <c r="F38" s="17" t="s">
        <v>15</v>
      </c>
      <c r="G38" s="17">
        <v>85</v>
      </c>
      <c r="H38" s="18">
        <v>70.8333333333333</v>
      </c>
      <c r="I38" s="17">
        <v>92.5</v>
      </c>
      <c r="J38" s="18">
        <v>77.0833333333333</v>
      </c>
      <c r="K38" s="17"/>
      <c r="L38" s="18">
        <v>73.9583333333333</v>
      </c>
    </row>
    <row r="39" ht="14.25" customHeight="1" spans="1:12">
      <c r="A39" s="14">
        <v>3</v>
      </c>
      <c r="B39" s="15" t="str">
        <f t="shared" si="2"/>
        <v>20240302</v>
      </c>
      <c r="C39" s="16" t="str">
        <f>"2410106303"</f>
        <v>2410106303</v>
      </c>
      <c r="D39" s="16" t="str">
        <f>"063"</f>
        <v>063</v>
      </c>
      <c r="E39" s="16" t="str">
        <f>"03"</f>
        <v>03</v>
      </c>
      <c r="F39" s="17" t="s">
        <v>15</v>
      </c>
      <c r="G39" s="17">
        <v>92</v>
      </c>
      <c r="H39" s="18">
        <v>76.6666666666667</v>
      </c>
      <c r="I39" s="17">
        <v>82.4</v>
      </c>
      <c r="J39" s="18">
        <v>68.6666666666667</v>
      </c>
      <c r="K39" s="17"/>
      <c r="L39" s="18">
        <v>72.6666666666667</v>
      </c>
    </row>
    <row r="40" ht="14.25" customHeight="1" spans="1:12">
      <c r="A40" s="14">
        <v>4</v>
      </c>
      <c r="B40" s="15" t="str">
        <f t="shared" si="2"/>
        <v>20240302</v>
      </c>
      <c r="C40" s="16" t="str">
        <f>"2410107124"</f>
        <v>2410107124</v>
      </c>
      <c r="D40" s="16" t="str">
        <f>"071"</f>
        <v>071</v>
      </c>
      <c r="E40" s="16" t="str">
        <f>"24"</f>
        <v>24</v>
      </c>
      <c r="F40" s="17" t="s">
        <v>15</v>
      </c>
      <c r="G40" s="17">
        <v>88.5</v>
      </c>
      <c r="H40" s="18">
        <v>73.75</v>
      </c>
      <c r="I40" s="17">
        <v>83.9</v>
      </c>
      <c r="J40" s="18">
        <v>69.9166666666667</v>
      </c>
      <c r="K40" s="17"/>
      <c r="L40" s="18">
        <v>71.8333333333333</v>
      </c>
    </row>
    <row r="41" ht="14.25" customHeight="1" spans="1:12">
      <c r="A41" s="14">
        <v>5</v>
      </c>
      <c r="B41" s="15" t="str">
        <f t="shared" si="2"/>
        <v>20240302</v>
      </c>
      <c r="C41" s="16" t="str">
        <f>"2410105502"</f>
        <v>2410105502</v>
      </c>
      <c r="D41" s="16" t="str">
        <f>"055"</f>
        <v>055</v>
      </c>
      <c r="E41" s="16" t="str">
        <f>"02"</f>
        <v>02</v>
      </c>
      <c r="F41" s="17" t="s">
        <v>15</v>
      </c>
      <c r="G41" s="17">
        <v>83</v>
      </c>
      <c r="H41" s="18">
        <v>69.1666666666667</v>
      </c>
      <c r="I41" s="17">
        <v>88.1</v>
      </c>
      <c r="J41" s="18">
        <v>73.4166666666667</v>
      </c>
      <c r="K41" s="17"/>
      <c r="L41" s="18">
        <v>71.2916666666667</v>
      </c>
    </row>
    <row r="42" ht="14.25" customHeight="1" spans="1:12">
      <c r="A42" s="14">
        <v>6</v>
      </c>
      <c r="B42" s="15" t="str">
        <f t="shared" si="2"/>
        <v>20240302</v>
      </c>
      <c r="C42" s="16" t="str">
        <f>"2410106426"</f>
        <v>2410106426</v>
      </c>
      <c r="D42" s="16" t="str">
        <f>"064"</f>
        <v>064</v>
      </c>
      <c r="E42" s="16" t="str">
        <f>"26"</f>
        <v>26</v>
      </c>
      <c r="F42" s="17" t="s">
        <v>15</v>
      </c>
      <c r="G42" s="17">
        <v>83</v>
      </c>
      <c r="H42" s="18">
        <v>69.1666666666667</v>
      </c>
      <c r="I42" s="17">
        <v>87.8</v>
      </c>
      <c r="J42" s="18">
        <v>73.1666666666667</v>
      </c>
      <c r="K42" s="17"/>
      <c r="L42" s="18">
        <v>71.1666666666667</v>
      </c>
    </row>
    <row r="43" ht="14.25" customHeight="1" spans="1:12">
      <c r="A43" s="14">
        <v>7</v>
      </c>
      <c r="B43" s="15" t="str">
        <f t="shared" si="2"/>
        <v>20240302</v>
      </c>
      <c r="C43" s="16" t="str">
        <f>"2410106116"</f>
        <v>2410106116</v>
      </c>
      <c r="D43" s="16" t="str">
        <f>"061"</f>
        <v>061</v>
      </c>
      <c r="E43" s="16" t="str">
        <f>"16"</f>
        <v>16</v>
      </c>
      <c r="F43" s="17" t="s">
        <v>15</v>
      </c>
      <c r="G43" s="17">
        <v>85</v>
      </c>
      <c r="H43" s="18">
        <v>70.8333333333333</v>
      </c>
      <c r="I43" s="17">
        <v>85.7</v>
      </c>
      <c r="J43" s="18">
        <v>71.4166666666667</v>
      </c>
      <c r="K43" s="17"/>
      <c r="L43" s="18">
        <v>71.125</v>
      </c>
    </row>
    <row r="44" ht="14.25" customHeight="1" spans="1:12">
      <c r="A44" s="14">
        <v>8</v>
      </c>
      <c r="B44" s="15" t="str">
        <f t="shared" si="2"/>
        <v>20240302</v>
      </c>
      <c r="C44" s="16" t="str">
        <f>"2410107011"</f>
        <v>2410107011</v>
      </c>
      <c r="D44" s="16" t="str">
        <f>"070"</f>
        <v>070</v>
      </c>
      <c r="E44" s="16" t="str">
        <f>"11"</f>
        <v>11</v>
      </c>
      <c r="F44" s="17" t="s">
        <v>15</v>
      </c>
      <c r="G44" s="17">
        <v>85</v>
      </c>
      <c r="H44" s="18">
        <v>70.8333333333333</v>
      </c>
      <c r="I44" s="17">
        <v>84.5</v>
      </c>
      <c r="J44" s="18">
        <v>70.4166666666667</v>
      </c>
      <c r="K44" s="17"/>
      <c r="L44" s="18">
        <v>70.625</v>
      </c>
    </row>
    <row r="45" ht="14.25" customHeight="1" spans="1:12">
      <c r="A45" s="14">
        <v>9</v>
      </c>
      <c r="B45" s="15" t="str">
        <f t="shared" si="2"/>
        <v>20240302</v>
      </c>
      <c r="C45" s="16" t="str">
        <f>"2410106008"</f>
        <v>2410106008</v>
      </c>
      <c r="D45" s="16" t="str">
        <f>"060"</f>
        <v>060</v>
      </c>
      <c r="E45" s="16" t="str">
        <f>"08"</f>
        <v>08</v>
      </c>
      <c r="F45" s="17" t="s">
        <v>15</v>
      </c>
      <c r="G45" s="17">
        <v>83</v>
      </c>
      <c r="H45" s="18">
        <v>69.1666666666667</v>
      </c>
      <c r="I45" s="17">
        <v>86.3</v>
      </c>
      <c r="J45" s="18">
        <v>71.9166666666667</v>
      </c>
      <c r="K45" s="17"/>
      <c r="L45" s="18">
        <v>70.5416666666667</v>
      </c>
    </row>
    <row r="46" ht="14.25" customHeight="1" spans="1:12">
      <c r="A46" s="14">
        <v>10</v>
      </c>
      <c r="B46" s="15" t="str">
        <f t="shared" si="2"/>
        <v>20240302</v>
      </c>
      <c r="C46" s="16" t="str">
        <f>"2410105712"</f>
        <v>2410105712</v>
      </c>
      <c r="D46" s="16" t="str">
        <f>"057"</f>
        <v>057</v>
      </c>
      <c r="E46" s="16" t="str">
        <f>"12"</f>
        <v>12</v>
      </c>
      <c r="F46" s="17" t="s">
        <v>15</v>
      </c>
      <c r="G46" s="17">
        <v>85.5</v>
      </c>
      <c r="H46" s="18">
        <v>71.25</v>
      </c>
      <c r="I46" s="17">
        <v>83.7</v>
      </c>
      <c r="J46" s="18">
        <v>69.75</v>
      </c>
      <c r="K46" s="17"/>
      <c r="L46" s="18">
        <v>70.5</v>
      </c>
    </row>
    <row r="47" ht="14.25" customHeight="1" spans="1:12">
      <c r="A47" s="14">
        <v>11</v>
      </c>
      <c r="B47" s="15" t="str">
        <f t="shared" si="2"/>
        <v>20240302</v>
      </c>
      <c r="C47" s="16" t="str">
        <f>"2410107418"</f>
        <v>2410107418</v>
      </c>
      <c r="D47" s="16" t="str">
        <f>"074"</f>
        <v>074</v>
      </c>
      <c r="E47" s="16" t="str">
        <f>"18"</f>
        <v>18</v>
      </c>
      <c r="F47" s="17" t="s">
        <v>15</v>
      </c>
      <c r="G47" s="17">
        <v>89.5</v>
      </c>
      <c r="H47" s="18">
        <v>74.5833333333333</v>
      </c>
      <c r="I47" s="17">
        <v>79.7</v>
      </c>
      <c r="J47" s="18">
        <v>66.4166666666667</v>
      </c>
      <c r="K47" s="17"/>
      <c r="L47" s="18">
        <v>70.5</v>
      </c>
    </row>
    <row r="48" ht="14.25" customHeight="1" spans="1:12">
      <c r="A48" s="14">
        <v>12</v>
      </c>
      <c r="B48" s="15" t="str">
        <f t="shared" si="2"/>
        <v>20240302</v>
      </c>
      <c r="C48" s="16" t="str">
        <f>"2410105821"</f>
        <v>2410105821</v>
      </c>
      <c r="D48" s="16" t="str">
        <f>"058"</f>
        <v>058</v>
      </c>
      <c r="E48" s="16" t="str">
        <f>"21"</f>
        <v>21</v>
      </c>
      <c r="F48" s="17" t="s">
        <v>15</v>
      </c>
      <c r="G48" s="17">
        <v>79.5</v>
      </c>
      <c r="H48" s="18">
        <v>66.25</v>
      </c>
      <c r="I48" s="17">
        <v>89.2</v>
      </c>
      <c r="J48" s="18">
        <v>74.3333333333333</v>
      </c>
      <c r="K48" s="17"/>
      <c r="L48" s="18">
        <v>70.2916666666667</v>
      </c>
    </row>
    <row r="49" ht="14.25" customHeight="1" spans="1:12">
      <c r="A49" s="14">
        <v>13</v>
      </c>
      <c r="B49" s="15" t="str">
        <f t="shared" si="2"/>
        <v>20240302</v>
      </c>
      <c r="C49" s="16" t="str">
        <f>"2410105904"</f>
        <v>2410105904</v>
      </c>
      <c r="D49" s="16" t="str">
        <f>"059"</f>
        <v>059</v>
      </c>
      <c r="E49" s="16" t="str">
        <f>"04"</f>
        <v>04</v>
      </c>
      <c r="F49" s="17" t="s">
        <v>15</v>
      </c>
      <c r="G49" s="17">
        <v>80</v>
      </c>
      <c r="H49" s="18">
        <v>66.6666666666667</v>
      </c>
      <c r="I49" s="17">
        <v>88.4</v>
      </c>
      <c r="J49" s="18">
        <v>73.6666666666667</v>
      </c>
      <c r="K49" s="17"/>
      <c r="L49" s="18">
        <v>70.1666666666667</v>
      </c>
    </row>
    <row r="50" ht="14.25" customHeight="1" spans="1:12">
      <c r="A50" s="14">
        <v>14</v>
      </c>
      <c r="B50" s="15" t="str">
        <f t="shared" si="2"/>
        <v>20240302</v>
      </c>
      <c r="C50" s="16" t="str">
        <f>"2410105607"</f>
        <v>2410105607</v>
      </c>
      <c r="D50" s="16" t="str">
        <f>"056"</f>
        <v>056</v>
      </c>
      <c r="E50" s="16" t="str">
        <f>"07"</f>
        <v>07</v>
      </c>
      <c r="F50" s="17" t="s">
        <v>15</v>
      </c>
      <c r="G50" s="17">
        <v>79</v>
      </c>
      <c r="H50" s="18">
        <v>65.8333333333333</v>
      </c>
      <c r="I50" s="17">
        <v>89.2</v>
      </c>
      <c r="J50" s="18">
        <v>74.3333333333333</v>
      </c>
      <c r="K50" s="17"/>
      <c r="L50" s="18">
        <v>70.0833333333333</v>
      </c>
    </row>
    <row r="51" ht="14.25" customHeight="1" spans="1:12">
      <c r="A51" s="14">
        <v>15</v>
      </c>
      <c r="B51" s="15" t="str">
        <f t="shared" si="2"/>
        <v>20240302</v>
      </c>
      <c r="C51" s="16" t="str">
        <f>"2410106013"</f>
        <v>2410106013</v>
      </c>
      <c r="D51" s="16" t="str">
        <f>"060"</f>
        <v>060</v>
      </c>
      <c r="E51" s="16" t="str">
        <f>"13"</f>
        <v>13</v>
      </c>
      <c r="F51" s="17" t="s">
        <v>15</v>
      </c>
      <c r="G51" s="17">
        <v>76</v>
      </c>
      <c r="H51" s="18">
        <v>63.3333333333333</v>
      </c>
      <c r="I51" s="17">
        <v>91.9</v>
      </c>
      <c r="J51" s="18">
        <v>76.5833333333333</v>
      </c>
      <c r="K51" s="17"/>
      <c r="L51" s="18">
        <v>69.9583333333333</v>
      </c>
    </row>
    <row r="52" ht="14.25" customHeight="1" spans="1:12">
      <c r="A52" s="14">
        <v>16</v>
      </c>
      <c r="B52" s="15" t="str">
        <f t="shared" si="2"/>
        <v>20240302</v>
      </c>
      <c r="C52" s="16" t="str">
        <f>"2410105326"</f>
        <v>2410105326</v>
      </c>
      <c r="D52" s="16" t="str">
        <f>"053"</f>
        <v>053</v>
      </c>
      <c r="E52" s="16" t="str">
        <f>"26"</f>
        <v>26</v>
      </c>
      <c r="F52" s="17" t="s">
        <v>15</v>
      </c>
      <c r="G52" s="17">
        <v>73</v>
      </c>
      <c r="H52" s="18">
        <v>60.8333333333333</v>
      </c>
      <c r="I52" s="17">
        <v>94.6</v>
      </c>
      <c r="J52" s="18">
        <v>78.8333333333333</v>
      </c>
      <c r="K52" s="17"/>
      <c r="L52" s="18">
        <v>69.8333333333333</v>
      </c>
    </row>
    <row r="53" ht="14.25" customHeight="1" spans="1:12">
      <c r="A53" s="14">
        <v>17</v>
      </c>
      <c r="B53" s="15" t="str">
        <f t="shared" si="2"/>
        <v>20240302</v>
      </c>
      <c r="C53" s="16" t="str">
        <f>"2410105709"</f>
        <v>2410105709</v>
      </c>
      <c r="D53" s="16" t="str">
        <f>"057"</f>
        <v>057</v>
      </c>
      <c r="E53" s="16" t="str">
        <f>"09"</f>
        <v>09</v>
      </c>
      <c r="F53" s="17" t="s">
        <v>15</v>
      </c>
      <c r="G53" s="17">
        <v>86.5</v>
      </c>
      <c r="H53" s="18">
        <v>72.0833333333333</v>
      </c>
      <c r="I53" s="17">
        <v>80.4</v>
      </c>
      <c r="J53" s="18">
        <v>67</v>
      </c>
      <c r="K53" s="17"/>
      <c r="L53" s="18">
        <v>69.5416666666667</v>
      </c>
    </row>
    <row r="54" ht="14.25" customHeight="1" spans="1:12">
      <c r="A54" s="14">
        <v>18</v>
      </c>
      <c r="B54" s="15" t="str">
        <f t="shared" si="2"/>
        <v>20240302</v>
      </c>
      <c r="C54" s="16" t="str">
        <f>"2410107813"</f>
        <v>2410107813</v>
      </c>
      <c r="D54" s="16" t="str">
        <f>"078"</f>
        <v>078</v>
      </c>
      <c r="E54" s="16" t="str">
        <f>"13"</f>
        <v>13</v>
      </c>
      <c r="F54" s="17" t="s">
        <v>15</v>
      </c>
      <c r="G54" s="17">
        <v>86</v>
      </c>
      <c r="H54" s="18">
        <v>71.6666666666667</v>
      </c>
      <c r="I54" s="17">
        <v>80.9</v>
      </c>
      <c r="J54" s="18">
        <v>67.4166666666667</v>
      </c>
      <c r="K54" s="17"/>
      <c r="L54" s="18">
        <v>69.5416666666667</v>
      </c>
    </row>
    <row r="55" ht="14.25" customHeight="1" spans="1:12">
      <c r="A55" s="14">
        <v>19</v>
      </c>
      <c r="B55" s="15" t="str">
        <f t="shared" si="2"/>
        <v>20240302</v>
      </c>
      <c r="C55" s="16" t="str">
        <f>"2410105606"</f>
        <v>2410105606</v>
      </c>
      <c r="D55" s="16" t="str">
        <f>"056"</f>
        <v>056</v>
      </c>
      <c r="E55" s="16" t="str">
        <f>"06"</f>
        <v>06</v>
      </c>
      <c r="F55" s="17" t="s">
        <v>15</v>
      </c>
      <c r="G55" s="17">
        <v>80</v>
      </c>
      <c r="H55" s="18">
        <v>66.6666666666667</v>
      </c>
      <c r="I55" s="17">
        <v>86.7</v>
      </c>
      <c r="J55" s="18">
        <v>72.25</v>
      </c>
      <c r="K55" s="17"/>
      <c r="L55" s="18">
        <v>69.4583333333333</v>
      </c>
    </row>
    <row r="56" ht="14.25" customHeight="1" spans="1:12">
      <c r="A56" s="14">
        <v>20</v>
      </c>
      <c r="B56" s="15" t="str">
        <f t="shared" si="2"/>
        <v>20240302</v>
      </c>
      <c r="C56" s="16" t="str">
        <f>"2410107216"</f>
        <v>2410107216</v>
      </c>
      <c r="D56" s="16" t="str">
        <f>"072"</f>
        <v>072</v>
      </c>
      <c r="E56" s="16" t="str">
        <f>"16"</f>
        <v>16</v>
      </c>
      <c r="F56" s="17" t="s">
        <v>15</v>
      </c>
      <c r="G56" s="17">
        <v>79</v>
      </c>
      <c r="H56" s="18">
        <v>65.8333333333333</v>
      </c>
      <c r="I56" s="17">
        <v>87.7</v>
      </c>
      <c r="J56" s="18">
        <v>73.0833333333333</v>
      </c>
      <c r="K56" s="17"/>
      <c r="L56" s="18">
        <v>69.4583333333333</v>
      </c>
    </row>
    <row r="57" ht="14.25" customHeight="1" spans="1:12">
      <c r="A57" s="14">
        <v>21</v>
      </c>
      <c r="B57" s="15" t="str">
        <f t="shared" si="2"/>
        <v>20240302</v>
      </c>
      <c r="C57" s="16" t="str">
        <f>"2410106804"</f>
        <v>2410106804</v>
      </c>
      <c r="D57" s="16" t="str">
        <f>"068"</f>
        <v>068</v>
      </c>
      <c r="E57" s="16" t="str">
        <f>"04"</f>
        <v>04</v>
      </c>
      <c r="F57" s="17" t="s">
        <v>15</v>
      </c>
      <c r="G57" s="17">
        <v>83</v>
      </c>
      <c r="H57" s="18">
        <v>69.1666666666667</v>
      </c>
      <c r="I57" s="17">
        <v>83.4</v>
      </c>
      <c r="J57" s="18">
        <v>69.5</v>
      </c>
      <c r="K57" s="17"/>
      <c r="L57" s="18">
        <v>69.3333333333333</v>
      </c>
    </row>
    <row r="58" ht="14.25" customHeight="1" spans="1:12">
      <c r="A58" s="14">
        <v>22</v>
      </c>
      <c r="B58" s="15" t="str">
        <f t="shared" si="2"/>
        <v>20240302</v>
      </c>
      <c r="C58" s="16" t="str">
        <f>"2410107914"</f>
        <v>2410107914</v>
      </c>
      <c r="D58" s="16" t="str">
        <f>"079"</f>
        <v>079</v>
      </c>
      <c r="E58" s="16" t="str">
        <f>"14"</f>
        <v>14</v>
      </c>
      <c r="F58" s="17" t="s">
        <v>15</v>
      </c>
      <c r="G58" s="17">
        <v>75</v>
      </c>
      <c r="H58" s="18">
        <v>62.5</v>
      </c>
      <c r="I58" s="17">
        <v>91.2</v>
      </c>
      <c r="J58" s="18">
        <v>76</v>
      </c>
      <c r="K58" s="17"/>
      <c r="L58" s="18">
        <v>69.25</v>
      </c>
    </row>
    <row r="59" ht="14.25" customHeight="1" spans="1:12">
      <c r="A59" s="14">
        <v>23</v>
      </c>
      <c r="B59" s="15" t="str">
        <f t="shared" si="2"/>
        <v>20240302</v>
      </c>
      <c r="C59" s="16" t="str">
        <f>"2410107311"</f>
        <v>2410107311</v>
      </c>
      <c r="D59" s="16" t="str">
        <f>"073"</f>
        <v>073</v>
      </c>
      <c r="E59" s="16" t="str">
        <f>"11"</f>
        <v>11</v>
      </c>
      <c r="F59" s="17" t="s">
        <v>15</v>
      </c>
      <c r="G59" s="17">
        <v>81</v>
      </c>
      <c r="H59" s="18">
        <v>67.5</v>
      </c>
      <c r="I59" s="17">
        <v>83.8</v>
      </c>
      <c r="J59" s="18">
        <v>69.8333333333333</v>
      </c>
      <c r="K59" s="17"/>
      <c r="L59" s="18">
        <v>68.6666666666667</v>
      </c>
    </row>
    <row r="60" ht="14.25" customHeight="1" spans="1:12">
      <c r="A60" s="14">
        <v>24</v>
      </c>
      <c r="B60" s="15" t="str">
        <f t="shared" si="2"/>
        <v>20240302</v>
      </c>
      <c r="C60" s="16" t="str">
        <f>"2410108119"</f>
        <v>2410108119</v>
      </c>
      <c r="D60" s="16" t="str">
        <f>"081"</f>
        <v>081</v>
      </c>
      <c r="E60" s="16" t="str">
        <f>"19"</f>
        <v>19</v>
      </c>
      <c r="F60" s="17" t="s">
        <v>15</v>
      </c>
      <c r="G60" s="17">
        <v>84</v>
      </c>
      <c r="H60" s="18">
        <v>70</v>
      </c>
      <c r="I60" s="17">
        <v>80.4</v>
      </c>
      <c r="J60" s="18">
        <v>67</v>
      </c>
      <c r="K60" s="17"/>
      <c r="L60" s="18">
        <v>68.5</v>
      </c>
    </row>
    <row r="61" ht="14.25" customHeight="1" spans="1:12">
      <c r="A61" s="14">
        <v>25</v>
      </c>
      <c r="B61" s="15" t="str">
        <f t="shared" si="2"/>
        <v>20240302</v>
      </c>
      <c r="C61" s="16" t="str">
        <f>"2410107517"</f>
        <v>2410107517</v>
      </c>
      <c r="D61" s="16" t="str">
        <f>"075"</f>
        <v>075</v>
      </c>
      <c r="E61" s="16" t="str">
        <f>"17"</f>
        <v>17</v>
      </c>
      <c r="F61" s="17" t="s">
        <v>15</v>
      </c>
      <c r="G61" s="17">
        <v>89</v>
      </c>
      <c r="H61" s="18">
        <v>74.1666666666667</v>
      </c>
      <c r="I61" s="17">
        <v>75.2</v>
      </c>
      <c r="J61" s="18">
        <v>62.6666666666667</v>
      </c>
      <c r="K61" s="17"/>
      <c r="L61" s="18">
        <v>68.4166666666667</v>
      </c>
    </row>
    <row r="62" ht="14.25" customHeight="1" spans="1:12">
      <c r="A62" s="14">
        <v>26</v>
      </c>
      <c r="B62" s="15" t="str">
        <f t="shared" si="2"/>
        <v>20240302</v>
      </c>
      <c r="C62" s="16" t="str">
        <f>"2410106004"</f>
        <v>2410106004</v>
      </c>
      <c r="D62" s="16" t="str">
        <f>"060"</f>
        <v>060</v>
      </c>
      <c r="E62" s="16" t="str">
        <f>"04"</f>
        <v>04</v>
      </c>
      <c r="F62" s="17" t="s">
        <v>15</v>
      </c>
      <c r="G62" s="17">
        <v>76.5</v>
      </c>
      <c r="H62" s="18">
        <v>63.75</v>
      </c>
      <c r="I62" s="17">
        <v>87.5</v>
      </c>
      <c r="J62" s="18">
        <v>72.9166666666667</v>
      </c>
      <c r="K62" s="17"/>
      <c r="L62" s="18">
        <v>68.3333333333333</v>
      </c>
    </row>
    <row r="63" ht="14.25" customHeight="1" spans="1:12">
      <c r="A63" s="14">
        <v>27</v>
      </c>
      <c r="B63" s="15" t="str">
        <f t="shared" si="2"/>
        <v>20240302</v>
      </c>
      <c r="C63" s="16" t="str">
        <f>"2410107328"</f>
        <v>2410107328</v>
      </c>
      <c r="D63" s="16" t="str">
        <f>"073"</f>
        <v>073</v>
      </c>
      <c r="E63" s="16" t="str">
        <f>"28"</f>
        <v>28</v>
      </c>
      <c r="F63" s="17" t="s">
        <v>15</v>
      </c>
      <c r="G63" s="17">
        <v>78.5</v>
      </c>
      <c r="H63" s="18">
        <v>65.4166666666667</v>
      </c>
      <c r="I63" s="17">
        <v>85.5</v>
      </c>
      <c r="J63" s="18">
        <v>71.25</v>
      </c>
      <c r="K63" s="17"/>
      <c r="L63" s="18">
        <v>68.3333333333333</v>
      </c>
    </row>
    <row r="64" ht="14.25" customHeight="1" spans="1:12">
      <c r="A64" s="14">
        <v>28</v>
      </c>
      <c r="B64" s="15" t="str">
        <f t="shared" si="2"/>
        <v>20240302</v>
      </c>
      <c r="C64" s="16" t="str">
        <f>"2410107206"</f>
        <v>2410107206</v>
      </c>
      <c r="D64" s="16" t="str">
        <f>"072"</f>
        <v>072</v>
      </c>
      <c r="E64" s="16" t="str">
        <f>"06"</f>
        <v>06</v>
      </c>
      <c r="F64" s="17" t="s">
        <v>15</v>
      </c>
      <c r="G64" s="17">
        <v>68.5</v>
      </c>
      <c r="H64" s="18">
        <v>57.0833333333333</v>
      </c>
      <c r="I64" s="17">
        <v>94.5</v>
      </c>
      <c r="J64" s="18">
        <v>78.75</v>
      </c>
      <c r="K64" s="17"/>
      <c r="L64" s="18">
        <v>67.9166666666667</v>
      </c>
    </row>
    <row r="65" ht="14.25" customHeight="1" spans="1:12">
      <c r="A65" s="14">
        <v>29</v>
      </c>
      <c r="B65" s="15" t="str">
        <f t="shared" si="2"/>
        <v>20240302</v>
      </c>
      <c r="C65" s="16" t="str">
        <f>"2410105609"</f>
        <v>2410105609</v>
      </c>
      <c r="D65" s="16" t="str">
        <f>"056"</f>
        <v>056</v>
      </c>
      <c r="E65" s="16" t="str">
        <f>"09"</f>
        <v>09</v>
      </c>
      <c r="F65" s="17" t="s">
        <v>15</v>
      </c>
      <c r="G65" s="17">
        <v>69.5</v>
      </c>
      <c r="H65" s="18">
        <v>57.9166666666667</v>
      </c>
      <c r="I65" s="17">
        <v>93.3</v>
      </c>
      <c r="J65" s="18">
        <v>77.75</v>
      </c>
      <c r="K65" s="17"/>
      <c r="L65" s="18">
        <v>67.8333333333333</v>
      </c>
    </row>
    <row r="66" ht="14.25" customHeight="1" spans="1:12">
      <c r="A66" s="14">
        <v>30</v>
      </c>
      <c r="B66" s="15" t="str">
        <f t="shared" si="2"/>
        <v>20240302</v>
      </c>
      <c r="C66" s="16" t="str">
        <f>"2410104811"</f>
        <v>2410104811</v>
      </c>
      <c r="D66" s="16" t="str">
        <f>"048"</f>
        <v>048</v>
      </c>
      <c r="E66" s="16" t="str">
        <f>"11"</f>
        <v>11</v>
      </c>
      <c r="F66" s="17" t="s">
        <v>15</v>
      </c>
      <c r="G66" s="17">
        <v>94.5</v>
      </c>
      <c r="H66" s="18">
        <v>78.75</v>
      </c>
      <c r="I66" s="17">
        <v>68</v>
      </c>
      <c r="J66" s="18">
        <v>56.6666666666667</v>
      </c>
      <c r="K66" s="17"/>
      <c r="L66" s="18">
        <v>67.7083333333333</v>
      </c>
    </row>
    <row r="67" ht="14.25" customHeight="1" spans="1:12">
      <c r="A67" s="14">
        <v>31</v>
      </c>
      <c r="B67" s="15" t="str">
        <f t="shared" si="2"/>
        <v>20240302</v>
      </c>
      <c r="C67" s="16" t="str">
        <f>"2410108316"</f>
        <v>2410108316</v>
      </c>
      <c r="D67" s="16" t="str">
        <f>"083"</f>
        <v>083</v>
      </c>
      <c r="E67" s="16" t="str">
        <f>"16"</f>
        <v>16</v>
      </c>
      <c r="F67" s="17" t="s">
        <v>15</v>
      </c>
      <c r="G67" s="17">
        <v>84.5</v>
      </c>
      <c r="H67" s="18">
        <v>70.4166666666667</v>
      </c>
      <c r="I67" s="17">
        <v>78</v>
      </c>
      <c r="J67" s="18">
        <v>65</v>
      </c>
      <c r="K67" s="17"/>
      <c r="L67" s="18">
        <v>67.7083333333333</v>
      </c>
    </row>
    <row r="68" ht="14.25" customHeight="1" spans="1:12">
      <c r="A68" s="19">
        <v>1</v>
      </c>
      <c r="B68" s="20" t="str">
        <f t="shared" ref="B68:B76" si="3">"20240303"</f>
        <v>20240303</v>
      </c>
      <c r="C68" s="21" t="str">
        <f>"2410108708"</f>
        <v>2410108708</v>
      </c>
      <c r="D68" s="21" t="str">
        <f>"087"</f>
        <v>087</v>
      </c>
      <c r="E68" s="21" t="str">
        <f>"08"</f>
        <v>08</v>
      </c>
      <c r="F68" s="22" t="s">
        <v>16</v>
      </c>
      <c r="G68" s="22">
        <v>79.5</v>
      </c>
      <c r="H68" s="23">
        <v>66.25</v>
      </c>
      <c r="I68" s="22">
        <v>95.7</v>
      </c>
      <c r="J68" s="23">
        <v>79.75</v>
      </c>
      <c r="K68" s="22"/>
      <c r="L68" s="23">
        <v>73</v>
      </c>
    </row>
    <row r="69" ht="14.25" customHeight="1" spans="1:12">
      <c r="A69" s="19">
        <v>2</v>
      </c>
      <c r="B69" s="20" t="str">
        <f t="shared" si="3"/>
        <v>20240303</v>
      </c>
      <c r="C69" s="21" t="str">
        <f>"2410108610"</f>
        <v>2410108610</v>
      </c>
      <c r="D69" s="21" t="str">
        <f>"086"</f>
        <v>086</v>
      </c>
      <c r="E69" s="21" t="str">
        <f>"10"</f>
        <v>10</v>
      </c>
      <c r="F69" s="22" t="s">
        <v>16</v>
      </c>
      <c r="G69" s="22">
        <v>77</v>
      </c>
      <c r="H69" s="23">
        <v>64.1666666666667</v>
      </c>
      <c r="I69" s="22">
        <v>92.95</v>
      </c>
      <c r="J69" s="23">
        <v>77.4583333333333</v>
      </c>
      <c r="K69" s="22"/>
      <c r="L69" s="23">
        <v>70.8125</v>
      </c>
    </row>
    <row r="70" ht="14.25" customHeight="1" spans="1:12">
      <c r="A70" s="19">
        <v>3</v>
      </c>
      <c r="B70" s="20" t="str">
        <f t="shared" si="3"/>
        <v>20240303</v>
      </c>
      <c r="C70" s="21" t="str">
        <f>"2410208909"</f>
        <v>2410208909</v>
      </c>
      <c r="D70" s="21" t="str">
        <f t="shared" ref="D70:D74" si="4">"089"</f>
        <v>089</v>
      </c>
      <c r="E70" s="21" t="str">
        <f>"09"</f>
        <v>09</v>
      </c>
      <c r="F70" s="22" t="s">
        <v>16</v>
      </c>
      <c r="G70" s="22">
        <v>75</v>
      </c>
      <c r="H70" s="23">
        <v>62.5</v>
      </c>
      <c r="I70" s="22">
        <v>93.2</v>
      </c>
      <c r="J70" s="23">
        <v>77.6666666666667</v>
      </c>
      <c r="K70" s="22"/>
      <c r="L70" s="23">
        <v>70.0833333333333</v>
      </c>
    </row>
    <row r="71" ht="14.25" customHeight="1" spans="1:12">
      <c r="A71" s="19">
        <v>4</v>
      </c>
      <c r="B71" s="20" t="str">
        <f t="shared" si="3"/>
        <v>20240303</v>
      </c>
      <c r="C71" s="21" t="str">
        <f>"2410208804"</f>
        <v>2410208804</v>
      </c>
      <c r="D71" s="21" t="str">
        <f>"088"</f>
        <v>088</v>
      </c>
      <c r="E71" s="21" t="str">
        <f>"04"</f>
        <v>04</v>
      </c>
      <c r="F71" s="22" t="s">
        <v>16</v>
      </c>
      <c r="G71" s="22">
        <v>79</v>
      </c>
      <c r="H71" s="23">
        <v>65.8333333333333</v>
      </c>
      <c r="I71" s="22">
        <v>86.95</v>
      </c>
      <c r="J71" s="23">
        <v>72.4583333333333</v>
      </c>
      <c r="K71" s="22"/>
      <c r="L71" s="23">
        <v>69.1458333333333</v>
      </c>
    </row>
    <row r="72" ht="14.25" customHeight="1" spans="1:12">
      <c r="A72" s="19">
        <v>5</v>
      </c>
      <c r="B72" s="20" t="str">
        <f t="shared" si="3"/>
        <v>20240303</v>
      </c>
      <c r="C72" s="21" t="str">
        <f>"2410208930"</f>
        <v>2410208930</v>
      </c>
      <c r="D72" s="21" t="str">
        <f t="shared" si="4"/>
        <v>089</v>
      </c>
      <c r="E72" s="21" t="str">
        <f>"30"</f>
        <v>30</v>
      </c>
      <c r="F72" s="22" t="s">
        <v>16</v>
      </c>
      <c r="G72" s="22">
        <v>73</v>
      </c>
      <c r="H72" s="23">
        <v>60.8333333333333</v>
      </c>
      <c r="I72" s="22">
        <v>92.65</v>
      </c>
      <c r="J72" s="23">
        <v>77.2083333333333</v>
      </c>
      <c r="K72" s="22"/>
      <c r="L72" s="23">
        <v>69.0208333333333</v>
      </c>
    </row>
    <row r="73" ht="14.25" customHeight="1" spans="1:12">
      <c r="A73" s="19">
        <v>6</v>
      </c>
      <c r="B73" s="20" t="str">
        <f t="shared" si="3"/>
        <v>20240303</v>
      </c>
      <c r="C73" s="21" t="str">
        <f>"2410108502"</f>
        <v>2410108502</v>
      </c>
      <c r="D73" s="21" t="str">
        <f>"085"</f>
        <v>085</v>
      </c>
      <c r="E73" s="21" t="str">
        <f>"02"</f>
        <v>02</v>
      </c>
      <c r="F73" s="22" t="s">
        <v>16</v>
      </c>
      <c r="G73" s="22">
        <v>75.5</v>
      </c>
      <c r="H73" s="23">
        <v>62.9166666666667</v>
      </c>
      <c r="I73" s="22">
        <v>88.2</v>
      </c>
      <c r="J73" s="23">
        <v>73.5</v>
      </c>
      <c r="K73" s="22"/>
      <c r="L73" s="23">
        <v>68.2083333333333</v>
      </c>
    </row>
    <row r="74" ht="14.25" customHeight="1" spans="1:12">
      <c r="A74" s="19">
        <v>7</v>
      </c>
      <c r="B74" s="20" t="str">
        <f t="shared" si="3"/>
        <v>20240303</v>
      </c>
      <c r="C74" s="21" t="str">
        <f>"2410208920"</f>
        <v>2410208920</v>
      </c>
      <c r="D74" s="21" t="str">
        <f t="shared" si="4"/>
        <v>089</v>
      </c>
      <c r="E74" s="21" t="str">
        <f>"20"</f>
        <v>20</v>
      </c>
      <c r="F74" s="22" t="s">
        <v>16</v>
      </c>
      <c r="G74" s="22">
        <v>78</v>
      </c>
      <c r="H74" s="23">
        <v>65</v>
      </c>
      <c r="I74" s="22">
        <v>84.25</v>
      </c>
      <c r="J74" s="23">
        <v>70.2083333333333</v>
      </c>
      <c r="K74" s="22"/>
      <c r="L74" s="23">
        <v>67.6041666666667</v>
      </c>
    </row>
    <row r="75" ht="14.25" customHeight="1" spans="1:12">
      <c r="A75" s="19">
        <v>8</v>
      </c>
      <c r="B75" s="20" t="str">
        <f t="shared" si="3"/>
        <v>20240303</v>
      </c>
      <c r="C75" s="21" t="str">
        <f>"2410108703"</f>
        <v>2410108703</v>
      </c>
      <c r="D75" s="21" t="str">
        <f>"087"</f>
        <v>087</v>
      </c>
      <c r="E75" s="21" t="str">
        <f>"03"</f>
        <v>03</v>
      </c>
      <c r="F75" s="22" t="s">
        <v>16</v>
      </c>
      <c r="G75" s="22">
        <v>72</v>
      </c>
      <c r="H75" s="23">
        <v>60</v>
      </c>
      <c r="I75" s="22">
        <v>90.15</v>
      </c>
      <c r="J75" s="23">
        <v>75.125</v>
      </c>
      <c r="K75" s="22"/>
      <c r="L75" s="23">
        <v>67.5625</v>
      </c>
    </row>
    <row r="76" ht="14.25" customHeight="1" spans="1:12">
      <c r="A76" s="19">
        <v>9</v>
      </c>
      <c r="B76" s="20" t="str">
        <f t="shared" si="3"/>
        <v>20240303</v>
      </c>
      <c r="C76" s="21" t="str">
        <f>"2410108609"</f>
        <v>2410108609</v>
      </c>
      <c r="D76" s="21" t="str">
        <f>"086"</f>
        <v>086</v>
      </c>
      <c r="E76" s="21" t="str">
        <f>"09"</f>
        <v>09</v>
      </c>
      <c r="F76" s="22" t="s">
        <v>16</v>
      </c>
      <c r="G76" s="22">
        <v>72</v>
      </c>
      <c r="H76" s="23">
        <v>60</v>
      </c>
      <c r="I76" s="22">
        <v>89.35</v>
      </c>
      <c r="J76" s="23">
        <v>74.4583333333333</v>
      </c>
      <c r="K76" s="22"/>
      <c r="L76" s="23">
        <v>67.2291666666667</v>
      </c>
    </row>
    <row r="77" ht="14.25" customHeight="1" spans="1:12">
      <c r="A77" s="24">
        <v>1</v>
      </c>
      <c r="B77" s="25" t="str">
        <f t="shared" ref="B77:B82" si="5">"20240304"</f>
        <v>20240304</v>
      </c>
      <c r="C77" s="26" t="str">
        <f>"2410209524"</f>
        <v>2410209524</v>
      </c>
      <c r="D77" s="26" t="str">
        <f>"095"</f>
        <v>095</v>
      </c>
      <c r="E77" s="26" t="str">
        <f>"24"</f>
        <v>24</v>
      </c>
      <c r="F77" s="27" t="s">
        <v>17</v>
      </c>
      <c r="G77" s="27">
        <v>74</v>
      </c>
      <c r="H77" s="28">
        <v>61.6666666666667</v>
      </c>
      <c r="I77" s="27">
        <v>84</v>
      </c>
      <c r="J77" s="28">
        <v>70</v>
      </c>
      <c r="K77" s="27"/>
      <c r="L77" s="28">
        <v>65.8333333333333</v>
      </c>
    </row>
    <row r="78" ht="14.25" customHeight="1" spans="1:12">
      <c r="A78" s="24">
        <v>2</v>
      </c>
      <c r="B78" s="25" t="str">
        <f t="shared" si="5"/>
        <v>20240304</v>
      </c>
      <c r="C78" s="26" t="str">
        <f>"2410209301"</f>
        <v>2410209301</v>
      </c>
      <c r="D78" s="26" t="str">
        <f>"093"</f>
        <v>093</v>
      </c>
      <c r="E78" s="26" t="str">
        <f>"01"</f>
        <v>01</v>
      </c>
      <c r="F78" s="27" t="s">
        <v>17</v>
      </c>
      <c r="G78" s="27">
        <v>76.5</v>
      </c>
      <c r="H78" s="28">
        <v>63.75</v>
      </c>
      <c r="I78" s="27">
        <v>81.1</v>
      </c>
      <c r="J78" s="28">
        <v>67.5833333333333</v>
      </c>
      <c r="K78" s="27"/>
      <c r="L78" s="28">
        <v>65.6666666666667</v>
      </c>
    </row>
    <row r="79" ht="14.25" customHeight="1" spans="1:12">
      <c r="A79" s="24">
        <v>3</v>
      </c>
      <c r="B79" s="25" t="str">
        <f t="shared" si="5"/>
        <v>20240304</v>
      </c>
      <c r="C79" s="26" t="str">
        <f>"2410209511"</f>
        <v>2410209511</v>
      </c>
      <c r="D79" s="26" t="str">
        <f>"095"</f>
        <v>095</v>
      </c>
      <c r="E79" s="26" t="str">
        <f>"11"</f>
        <v>11</v>
      </c>
      <c r="F79" s="27" t="s">
        <v>17</v>
      </c>
      <c r="G79" s="27">
        <v>77</v>
      </c>
      <c r="H79" s="28">
        <v>64.1666666666667</v>
      </c>
      <c r="I79" s="27">
        <v>80.6</v>
      </c>
      <c r="J79" s="28">
        <v>67.1666666666667</v>
      </c>
      <c r="K79" s="27"/>
      <c r="L79" s="28">
        <v>65.6666666666667</v>
      </c>
    </row>
    <row r="80" ht="14.25" customHeight="1" spans="1:12">
      <c r="A80" s="24">
        <v>4</v>
      </c>
      <c r="B80" s="25" t="str">
        <f t="shared" si="5"/>
        <v>20240304</v>
      </c>
      <c r="C80" s="26" t="str">
        <f>"2410209207"</f>
        <v>2410209207</v>
      </c>
      <c r="D80" s="26" t="str">
        <f t="shared" ref="D80:D82" si="6">"092"</f>
        <v>092</v>
      </c>
      <c r="E80" s="26" t="str">
        <f>"07"</f>
        <v>07</v>
      </c>
      <c r="F80" s="27" t="s">
        <v>17</v>
      </c>
      <c r="G80" s="27">
        <v>78.5</v>
      </c>
      <c r="H80" s="28">
        <v>65.4166666666667</v>
      </c>
      <c r="I80" s="27">
        <v>78</v>
      </c>
      <c r="J80" s="28">
        <v>65</v>
      </c>
      <c r="K80" s="27"/>
      <c r="L80" s="28">
        <v>65.2083333333333</v>
      </c>
    </row>
    <row r="81" ht="14.25" customHeight="1" spans="1:12">
      <c r="A81" s="24">
        <v>5</v>
      </c>
      <c r="B81" s="25" t="str">
        <f t="shared" si="5"/>
        <v>20240304</v>
      </c>
      <c r="C81" s="26" t="str">
        <f>"2410209201"</f>
        <v>2410209201</v>
      </c>
      <c r="D81" s="26" t="str">
        <f t="shared" si="6"/>
        <v>092</v>
      </c>
      <c r="E81" s="26" t="str">
        <f>"01"</f>
        <v>01</v>
      </c>
      <c r="F81" s="27" t="s">
        <v>17</v>
      </c>
      <c r="G81" s="27">
        <v>72</v>
      </c>
      <c r="H81" s="28">
        <v>60</v>
      </c>
      <c r="I81" s="27">
        <v>84.4</v>
      </c>
      <c r="J81" s="28">
        <v>70.3333333333333</v>
      </c>
      <c r="K81" s="27"/>
      <c r="L81" s="28">
        <v>65.1666666666667</v>
      </c>
    </row>
    <row r="82" ht="14.25" customHeight="1" spans="1:12">
      <c r="A82" s="24">
        <v>6</v>
      </c>
      <c r="B82" s="25" t="str">
        <f t="shared" si="5"/>
        <v>20240304</v>
      </c>
      <c r="C82" s="26" t="str">
        <f>"2410209221"</f>
        <v>2410209221</v>
      </c>
      <c r="D82" s="26" t="str">
        <f t="shared" si="6"/>
        <v>092</v>
      </c>
      <c r="E82" s="26" t="str">
        <f>"21"</f>
        <v>21</v>
      </c>
      <c r="F82" s="27" t="s">
        <v>17</v>
      </c>
      <c r="G82" s="27">
        <v>81</v>
      </c>
      <c r="H82" s="28">
        <v>67.5</v>
      </c>
      <c r="I82" s="27">
        <v>74.3</v>
      </c>
      <c r="J82" s="28">
        <v>61.9166666666667</v>
      </c>
      <c r="K82" s="27"/>
      <c r="L82" s="28">
        <v>64.7083333333333</v>
      </c>
    </row>
    <row r="83" ht="14.25" customHeight="1" spans="1:12">
      <c r="A83" s="29">
        <v>1</v>
      </c>
      <c r="B83" s="30" t="str">
        <f t="shared" ref="B83:B96" si="7">"20240305"</f>
        <v>20240305</v>
      </c>
      <c r="C83" s="31" t="str">
        <f>"2410210205"</f>
        <v>2410210205</v>
      </c>
      <c r="D83" s="31" t="str">
        <f>"102"</f>
        <v>102</v>
      </c>
      <c r="E83" s="31" t="str">
        <f>"05"</f>
        <v>05</v>
      </c>
      <c r="F83" s="32" t="s">
        <v>18</v>
      </c>
      <c r="G83" s="32">
        <v>89.5</v>
      </c>
      <c r="H83" s="33">
        <v>74.5833333333333</v>
      </c>
      <c r="I83" s="32">
        <v>105.5</v>
      </c>
      <c r="J83" s="33">
        <v>87.9166666666667</v>
      </c>
      <c r="K83" s="32"/>
      <c r="L83" s="33">
        <v>81.25</v>
      </c>
    </row>
    <row r="84" ht="14.25" customHeight="1" spans="1:12">
      <c r="A84" s="29">
        <v>2</v>
      </c>
      <c r="B84" s="30" t="str">
        <f t="shared" si="7"/>
        <v>20240305</v>
      </c>
      <c r="C84" s="31" t="str">
        <f>"2410209805"</f>
        <v>2410209805</v>
      </c>
      <c r="D84" s="31" t="str">
        <f>"098"</f>
        <v>098</v>
      </c>
      <c r="E84" s="31" t="str">
        <f>"05"</f>
        <v>05</v>
      </c>
      <c r="F84" s="32" t="s">
        <v>18</v>
      </c>
      <c r="G84" s="32">
        <v>83.5</v>
      </c>
      <c r="H84" s="33">
        <v>69.5833333333333</v>
      </c>
      <c r="I84" s="32">
        <v>111</v>
      </c>
      <c r="J84" s="33">
        <v>92.5</v>
      </c>
      <c r="K84" s="32"/>
      <c r="L84" s="33">
        <v>81.0416666666667</v>
      </c>
    </row>
    <row r="85" ht="14.25" customHeight="1" spans="1:12">
      <c r="A85" s="29">
        <v>3</v>
      </c>
      <c r="B85" s="30" t="str">
        <f t="shared" si="7"/>
        <v>20240305</v>
      </c>
      <c r="C85" s="31" t="str">
        <f>"2410210226"</f>
        <v>2410210226</v>
      </c>
      <c r="D85" s="31" t="str">
        <f>"102"</f>
        <v>102</v>
      </c>
      <c r="E85" s="31" t="str">
        <f>"26"</f>
        <v>26</v>
      </c>
      <c r="F85" s="32" t="s">
        <v>18</v>
      </c>
      <c r="G85" s="32">
        <v>86.5</v>
      </c>
      <c r="H85" s="33">
        <v>72.0833333333333</v>
      </c>
      <c r="I85" s="32">
        <v>108</v>
      </c>
      <c r="J85" s="33">
        <v>90</v>
      </c>
      <c r="K85" s="32"/>
      <c r="L85" s="33">
        <v>81.0416666666667</v>
      </c>
    </row>
    <row r="86" ht="14.25" customHeight="1" spans="1:12">
      <c r="A86" s="29">
        <v>4</v>
      </c>
      <c r="B86" s="30" t="str">
        <f t="shared" si="7"/>
        <v>20240305</v>
      </c>
      <c r="C86" s="31" t="str">
        <f>"2410210017"</f>
        <v>2410210017</v>
      </c>
      <c r="D86" s="31" t="str">
        <f>"100"</f>
        <v>100</v>
      </c>
      <c r="E86" s="31" t="str">
        <f>"17"</f>
        <v>17</v>
      </c>
      <c r="F86" s="32" t="s">
        <v>18</v>
      </c>
      <c r="G86" s="32">
        <v>91</v>
      </c>
      <c r="H86" s="33">
        <v>75.8333333333333</v>
      </c>
      <c r="I86" s="32">
        <v>103</v>
      </c>
      <c r="J86" s="33">
        <v>85.8333333333333</v>
      </c>
      <c r="K86" s="32"/>
      <c r="L86" s="33">
        <v>80.8333333333333</v>
      </c>
    </row>
    <row r="87" ht="14.25" customHeight="1" spans="1:12">
      <c r="A87" s="29">
        <v>5</v>
      </c>
      <c r="B87" s="30" t="str">
        <f t="shared" si="7"/>
        <v>20240305</v>
      </c>
      <c r="C87" s="31" t="str">
        <f>"2410210419"</f>
        <v>2410210419</v>
      </c>
      <c r="D87" s="31" t="str">
        <f>"104"</f>
        <v>104</v>
      </c>
      <c r="E87" s="31" t="str">
        <f>"19"</f>
        <v>19</v>
      </c>
      <c r="F87" s="32" t="s">
        <v>18</v>
      </c>
      <c r="G87" s="32">
        <v>85</v>
      </c>
      <c r="H87" s="33">
        <v>70.8333333333333</v>
      </c>
      <c r="I87" s="32">
        <v>105</v>
      </c>
      <c r="J87" s="33">
        <v>87.5</v>
      </c>
      <c r="K87" s="32"/>
      <c r="L87" s="33">
        <v>79.1666666666667</v>
      </c>
    </row>
    <row r="88" ht="14.25" customHeight="1" spans="1:12">
      <c r="A88" s="29">
        <v>6</v>
      </c>
      <c r="B88" s="30" t="str">
        <f t="shared" si="7"/>
        <v>20240305</v>
      </c>
      <c r="C88" s="31" t="str">
        <f>"2410210025"</f>
        <v>2410210025</v>
      </c>
      <c r="D88" s="31" t="str">
        <f>"100"</f>
        <v>100</v>
      </c>
      <c r="E88" s="31" t="str">
        <f>"25"</f>
        <v>25</v>
      </c>
      <c r="F88" s="32" t="s">
        <v>18</v>
      </c>
      <c r="G88" s="32">
        <v>87</v>
      </c>
      <c r="H88" s="33">
        <v>72.5</v>
      </c>
      <c r="I88" s="32">
        <v>102</v>
      </c>
      <c r="J88" s="33">
        <v>85</v>
      </c>
      <c r="K88" s="32"/>
      <c r="L88" s="33">
        <v>78.75</v>
      </c>
    </row>
    <row r="89" ht="14.25" customHeight="1" spans="1:12">
      <c r="A89" s="29">
        <v>7</v>
      </c>
      <c r="B89" s="30" t="str">
        <f t="shared" si="7"/>
        <v>20240305</v>
      </c>
      <c r="C89" s="31" t="str">
        <f>"2410210321"</f>
        <v>2410210321</v>
      </c>
      <c r="D89" s="31" t="str">
        <f>"103"</f>
        <v>103</v>
      </c>
      <c r="E89" s="31" t="str">
        <f>"21"</f>
        <v>21</v>
      </c>
      <c r="F89" s="32" t="s">
        <v>18</v>
      </c>
      <c r="G89" s="32">
        <v>82</v>
      </c>
      <c r="H89" s="33">
        <v>68.3333333333333</v>
      </c>
      <c r="I89" s="32">
        <v>106.5</v>
      </c>
      <c r="J89" s="33">
        <v>88.75</v>
      </c>
      <c r="K89" s="32"/>
      <c r="L89" s="33">
        <v>78.5416666666667</v>
      </c>
    </row>
    <row r="90" ht="14.25" customHeight="1" spans="1:12">
      <c r="A90" s="29">
        <v>8</v>
      </c>
      <c r="B90" s="30" t="str">
        <f t="shared" si="7"/>
        <v>20240305</v>
      </c>
      <c r="C90" s="31" t="str">
        <f>"2410210506"</f>
        <v>2410210506</v>
      </c>
      <c r="D90" s="31" t="str">
        <f>"105"</f>
        <v>105</v>
      </c>
      <c r="E90" s="31" t="str">
        <f>"06"</f>
        <v>06</v>
      </c>
      <c r="F90" s="32" t="s">
        <v>18</v>
      </c>
      <c r="G90" s="32">
        <v>80</v>
      </c>
      <c r="H90" s="33">
        <v>66.6666666666667</v>
      </c>
      <c r="I90" s="32">
        <v>107.5</v>
      </c>
      <c r="J90" s="33">
        <v>89.5833333333333</v>
      </c>
      <c r="K90" s="32"/>
      <c r="L90" s="33">
        <v>78.125</v>
      </c>
    </row>
    <row r="91" ht="14.25" customHeight="1" spans="1:12">
      <c r="A91" s="29">
        <v>9</v>
      </c>
      <c r="B91" s="30" t="str">
        <f t="shared" si="7"/>
        <v>20240305</v>
      </c>
      <c r="C91" s="31" t="str">
        <f>"2410209709"</f>
        <v>2410209709</v>
      </c>
      <c r="D91" s="31" t="str">
        <f>"097"</f>
        <v>097</v>
      </c>
      <c r="E91" s="31" t="str">
        <f>"09"</f>
        <v>09</v>
      </c>
      <c r="F91" s="32" t="s">
        <v>18</v>
      </c>
      <c r="G91" s="32">
        <v>75</v>
      </c>
      <c r="H91" s="33">
        <v>62.5</v>
      </c>
      <c r="I91" s="32">
        <v>112</v>
      </c>
      <c r="J91" s="33">
        <v>93.3333333333333</v>
      </c>
      <c r="K91" s="32"/>
      <c r="L91" s="33">
        <v>77.9166666666667</v>
      </c>
    </row>
    <row r="92" ht="14.25" customHeight="1" spans="1:12">
      <c r="A92" s="29">
        <v>10</v>
      </c>
      <c r="B92" s="30" t="str">
        <f t="shared" si="7"/>
        <v>20240305</v>
      </c>
      <c r="C92" s="31" t="str">
        <f>"2410209829"</f>
        <v>2410209829</v>
      </c>
      <c r="D92" s="31" t="str">
        <f>"098"</f>
        <v>098</v>
      </c>
      <c r="E92" s="31" t="str">
        <f>"29"</f>
        <v>29</v>
      </c>
      <c r="F92" s="32" t="s">
        <v>18</v>
      </c>
      <c r="G92" s="32">
        <v>81</v>
      </c>
      <c r="H92" s="33">
        <v>67.5</v>
      </c>
      <c r="I92" s="32">
        <v>105.5</v>
      </c>
      <c r="J92" s="33">
        <v>87.9166666666667</v>
      </c>
      <c r="K92" s="32"/>
      <c r="L92" s="33">
        <v>77.7083333333333</v>
      </c>
    </row>
    <row r="93" ht="14.25" customHeight="1" spans="1:12">
      <c r="A93" s="29">
        <v>11</v>
      </c>
      <c r="B93" s="30" t="str">
        <f t="shared" si="7"/>
        <v>20240305</v>
      </c>
      <c r="C93" s="31" t="str">
        <f>"2410210608"</f>
        <v>2410210608</v>
      </c>
      <c r="D93" s="31" t="str">
        <f>"106"</f>
        <v>106</v>
      </c>
      <c r="E93" s="31" t="str">
        <f>"08"</f>
        <v>08</v>
      </c>
      <c r="F93" s="32" t="s">
        <v>18</v>
      </c>
      <c r="G93" s="32">
        <v>86</v>
      </c>
      <c r="H93" s="33">
        <v>71.6666666666667</v>
      </c>
      <c r="I93" s="32">
        <v>100.5</v>
      </c>
      <c r="J93" s="33">
        <v>83.75</v>
      </c>
      <c r="K93" s="32"/>
      <c r="L93" s="33">
        <v>77.7083333333333</v>
      </c>
    </row>
    <row r="94" ht="14.25" customHeight="1" spans="1:12">
      <c r="A94" s="29">
        <v>12</v>
      </c>
      <c r="B94" s="30" t="str">
        <f t="shared" si="7"/>
        <v>20240305</v>
      </c>
      <c r="C94" s="31" t="str">
        <f>"2410211002"</f>
        <v>2410211002</v>
      </c>
      <c r="D94" s="31" t="str">
        <f>"110"</f>
        <v>110</v>
      </c>
      <c r="E94" s="31" t="str">
        <f>"02"</f>
        <v>02</v>
      </c>
      <c r="F94" s="32" t="s">
        <v>18</v>
      </c>
      <c r="G94" s="32">
        <v>78</v>
      </c>
      <c r="H94" s="33">
        <v>65</v>
      </c>
      <c r="I94" s="32">
        <v>108.5</v>
      </c>
      <c r="J94" s="33">
        <v>90.4166666666667</v>
      </c>
      <c r="K94" s="32"/>
      <c r="L94" s="33">
        <v>77.7083333333333</v>
      </c>
    </row>
    <row r="95" ht="14.25" customHeight="1" spans="1:12">
      <c r="A95" s="29">
        <v>13</v>
      </c>
      <c r="B95" s="30" t="str">
        <f t="shared" si="7"/>
        <v>20240305</v>
      </c>
      <c r="C95" s="31" t="str">
        <f>"2410211110"</f>
        <v>2410211110</v>
      </c>
      <c r="D95" s="31" t="str">
        <f>"111"</f>
        <v>111</v>
      </c>
      <c r="E95" s="31" t="str">
        <f>"10"</f>
        <v>10</v>
      </c>
      <c r="F95" s="32" t="s">
        <v>18</v>
      </c>
      <c r="G95" s="32">
        <v>79</v>
      </c>
      <c r="H95" s="33">
        <v>65.8333333333333</v>
      </c>
      <c r="I95" s="32">
        <v>107.5</v>
      </c>
      <c r="J95" s="33">
        <v>89.5833333333333</v>
      </c>
      <c r="K95" s="32"/>
      <c r="L95" s="33">
        <v>77.7083333333333</v>
      </c>
    </row>
    <row r="96" ht="14.25" customHeight="1" spans="1:12">
      <c r="A96" s="29">
        <v>14</v>
      </c>
      <c r="B96" s="30" t="str">
        <f t="shared" si="7"/>
        <v>20240305</v>
      </c>
      <c r="C96" s="31" t="str">
        <f>"2410211210"</f>
        <v>2410211210</v>
      </c>
      <c r="D96" s="31" t="str">
        <f>"112"</f>
        <v>112</v>
      </c>
      <c r="E96" s="31" t="str">
        <f>"10"</f>
        <v>10</v>
      </c>
      <c r="F96" s="32" t="s">
        <v>18</v>
      </c>
      <c r="G96" s="32">
        <v>81.5</v>
      </c>
      <c r="H96" s="33">
        <v>67.9166666666667</v>
      </c>
      <c r="I96" s="32">
        <v>105</v>
      </c>
      <c r="J96" s="33">
        <v>87.5</v>
      </c>
      <c r="K96" s="32"/>
      <c r="L96" s="33">
        <v>77.7083333333333</v>
      </c>
    </row>
    <row r="97" ht="14.25" customHeight="1" spans="1:12">
      <c r="A97" s="9">
        <v>1</v>
      </c>
      <c r="B97" s="13" t="str">
        <f t="shared" ref="B97:B123" si="8">"20240306"</f>
        <v>20240306</v>
      </c>
      <c r="C97" s="10" t="str">
        <f>"2420101412"</f>
        <v>2420101412</v>
      </c>
      <c r="D97" s="10" t="str">
        <f>"014"</f>
        <v>014</v>
      </c>
      <c r="E97" s="10" t="str">
        <f>"12"</f>
        <v>12</v>
      </c>
      <c r="F97" s="11" t="s">
        <v>19</v>
      </c>
      <c r="G97" s="11">
        <v>87.5</v>
      </c>
      <c r="H97" s="12">
        <v>72.9166666666667</v>
      </c>
      <c r="I97" s="11">
        <v>101.5</v>
      </c>
      <c r="J97" s="12">
        <v>84.5833333333333</v>
      </c>
      <c r="K97" s="11"/>
      <c r="L97" s="12">
        <v>78.75</v>
      </c>
    </row>
    <row r="98" ht="14.25" customHeight="1" spans="1:12">
      <c r="A98" s="9">
        <v>2</v>
      </c>
      <c r="B98" s="13" t="str">
        <f t="shared" si="8"/>
        <v>20240306</v>
      </c>
      <c r="C98" s="10" t="str">
        <f>"2420100111"</f>
        <v>2420100111</v>
      </c>
      <c r="D98" s="10" t="str">
        <f>"001"</f>
        <v>001</v>
      </c>
      <c r="E98" s="10" t="str">
        <f>"11"</f>
        <v>11</v>
      </c>
      <c r="F98" s="11" t="s">
        <v>19</v>
      </c>
      <c r="G98" s="11">
        <v>89.5</v>
      </c>
      <c r="H98" s="12">
        <v>74.5833333333333</v>
      </c>
      <c r="I98" s="11">
        <v>88</v>
      </c>
      <c r="J98" s="12">
        <v>73.3333333333333</v>
      </c>
      <c r="K98" s="11"/>
      <c r="L98" s="12">
        <v>73.9583333333333</v>
      </c>
    </row>
    <row r="99" ht="14.25" customHeight="1" spans="1:12">
      <c r="A99" s="9">
        <v>3</v>
      </c>
      <c r="B99" s="13" t="str">
        <f t="shared" si="8"/>
        <v>20240306</v>
      </c>
      <c r="C99" s="10" t="str">
        <f>"2420101511"</f>
        <v>2420101511</v>
      </c>
      <c r="D99" s="10" t="str">
        <f>"015"</f>
        <v>015</v>
      </c>
      <c r="E99" s="10" t="str">
        <f>"11"</f>
        <v>11</v>
      </c>
      <c r="F99" s="11" t="s">
        <v>19</v>
      </c>
      <c r="G99" s="11">
        <v>89.5</v>
      </c>
      <c r="H99" s="12">
        <v>74.5833333333333</v>
      </c>
      <c r="I99" s="11">
        <v>88</v>
      </c>
      <c r="J99" s="12">
        <v>73.3333333333333</v>
      </c>
      <c r="K99" s="11"/>
      <c r="L99" s="12">
        <v>73.9583333333333</v>
      </c>
    </row>
    <row r="100" ht="14.25" customHeight="1" spans="1:12">
      <c r="A100" s="9">
        <v>4</v>
      </c>
      <c r="B100" s="13" t="str">
        <f t="shared" si="8"/>
        <v>20240306</v>
      </c>
      <c r="C100" s="10" t="str">
        <f>"2420100216"</f>
        <v>2420100216</v>
      </c>
      <c r="D100" s="10" t="str">
        <f>"002"</f>
        <v>002</v>
      </c>
      <c r="E100" s="10" t="str">
        <f>"16"</f>
        <v>16</v>
      </c>
      <c r="F100" s="11" t="s">
        <v>19</v>
      </c>
      <c r="G100" s="11">
        <v>93</v>
      </c>
      <c r="H100" s="12">
        <v>77.5</v>
      </c>
      <c r="I100" s="11">
        <v>83</v>
      </c>
      <c r="J100" s="12">
        <v>69.1666666666667</v>
      </c>
      <c r="K100" s="11"/>
      <c r="L100" s="12">
        <v>73.3333333333333</v>
      </c>
    </row>
    <row r="101" ht="14.25" customHeight="1" spans="1:12">
      <c r="A101" s="9">
        <v>5</v>
      </c>
      <c r="B101" s="13" t="str">
        <f t="shared" si="8"/>
        <v>20240306</v>
      </c>
      <c r="C101" s="10" t="str">
        <f>"2420100730"</f>
        <v>2420100730</v>
      </c>
      <c r="D101" s="10" t="str">
        <f>"007"</f>
        <v>007</v>
      </c>
      <c r="E101" s="10" t="str">
        <f>"30"</f>
        <v>30</v>
      </c>
      <c r="F101" s="11" t="s">
        <v>19</v>
      </c>
      <c r="G101" s="11">
        <v>85</v>
      </c>
      <c r="H101" s="12">
        <v>70.8333333333333</v>
      </c>
      <c r="I101" s="11">
        <v>91</v>
      </c>
      <c r="J101" s="12">
        <v>75.8333333333333</v>
      </c>
      <c r="K101" s="11"/>
      <c r="L101" s="12">
        <v>73.3333333333333</v>
      </c>
    </row>
    <row r="102" ht="14.25" customHeight="1" spans="1:12">
      <c r="A102" s="9">
        <v>6</v>
      </c>
      <c r="B102" s="13" t="str">
        <f t="shared" si="8"/>
        <v>20240306</v>
      </c>
      <c r="C102" s="10" t="str">
        <f>"2420101105"</f>
        <v>2420101105</v>
      </c>
      <c r="D102" s="10" t="str">
        <f>"011"</f>
        <v>011</v>
      </c>
      <c r="E102" s="10" t="str">
        <f>"05"</f>
        <v>05</v>
      </c>
      <c r="F102" s="11" t="s">
        <v>19</v>
      </c>
      <c r="G102" s="11">
        <v>91.5</v>
      </c>
      <c r="H102" s="12">
        <v>76.25</v>
      </c>
      <c r="I102" s="11">
        <v>84.5</v>
      </c>
      <c r="J102" s="12">
        <v>70.4166666666667</v>
      </c>
      <c r="K102" s="11"/>
      <c r="L102" s="12">
        <v>73.3333333333333</v>
      </c>
    </row>
    <row r="103" ht="14.25" customHeight="1" spans="1:12">
      <c r="A103" s="9">
        <v>7</v>
      </c>
      <c r="B103" s="13" t="str">
        <f t="shared" si="8"/>
        <v>20240306</v>
      </c>
      <c r="C103" s="10" t="str">
        <f>"2420100215"</f>
        <v>2420100215</v>
      </c>
      <c r="D103" s="10" t="str">
        <f>"002"</f>
        <v>002</v>
      </c>
      <c r="E103" s="10" t="str">
        <f>"15"</f>
        <v>15</v>
      </c>
      <c r="F103" s="11" t="s">
        <v>19</v>
      </c>
      <c r="G103" s="11">
        <v>98</v>
      </c>
      <c r="H103" s="12">
        <v>81.6666666666667</v>
      </c>
      <c r="I103" s="11">
        <v>77.5</v>
      </c>
      <c r="J103" s="12">
        <v>64.5833333333333</v>
      </c>
      <c r="K103" s="11"/>
      <c r="L103" s="12">
        <v>73.125</v>
      </c>
    </row>
    <row r="104" ht="14.25" customHeight="1" spans="1:12">
      <c r="A104" s="9">
        <v>8</v>
      </c>
      <c r="B104" s="13" t="str">
        <f t="shared" si="8"/>
        <v>20240306</v>
      </c>
      <c r="C104" s="10" t="str">
        <f>"2420100920"</f>
        <v>2420100920</v>
      </c>
      <c r="D104" s="10" t="str">
        <f t="shared" ref="D104:D109" si="9">"009"</f>
        <v>009</v>
      </c>
      <c r="E104" s="10" t="str">
        <f>"20"</f>
        <v>20</v>
      </c>
      <c r="F104" s="11" t="s">
        <v>19</v>
      </c>
      <c r="G104" s="11">
        <v>95.5</v>
      </c>
      <c r="H104" s="12">
        <v>79.5833333333333</v>
      </c>
      <c r="I104" s="11">
        <v>79</v>
      </c>
      <c r="J104" s="12">
        <v>65.8333333333333</v>
      </c>
      <c r="K104" s="11"/>
      <c r="L104" s="12">
        <v>72.7083333333333</v>
      </c>
    </row>
    <row r="105" ht="14.25" customHeight="1" spans="1:12">
      <c r="A105" s="9">
        <v>9</v>
      </c>
      <c r="B105" s="13" t="str">
        <f t="shared" si="8"/>
        <v>20240306</v>
      </c>
      <c r="C105" s="10" t="str">
        <f>"2420100926"</f>
        <v>2420100926</v>
      </c>
      <c r="D105" s="10" t="str">
        <f t="shared" si="9"/>
        <v>009</v>
      </c>
      <c r="E105" s="10" t="str">
        <f>"26"</f>
        <v>26</v>
      </c>
      <c r="F105" s="11" t="s">
        <v>19</v>
      </c>
      <c r="G105" s="11">
        <v>83</v>
      </c>
      <c r="H105" s="12">
        <v>69.1666666666667</v>
      </c>
      <c r="I105" s="11">
        <v>91.5</v>
      </c>
      <c r="J105" s="12">
        <v>76.25</v>
      </c>
      <c r="K105" s="11"/>
      <c r="L105" s="12">
        <v>72.7083333333333</v>
      </c>
    </row>
    <row r="106" ht="14.25" customHeight="1" spans="1:12">
      <c r="A106" s="9">
        <v>10</v>
      </c>
      <c r="B106" s="13" t="str">
        <f t="shared" si="8"/>
        <v>20240306</v>
      </c>
      <c r="C106" s="10" t="str">
        <f>"2420101405"</f>
        <v>2420101405</v>
      </c>
      <c r="D106" s="10" t="str">
        <f>"014"</f>
        <v>014</v>
      </c>
      <c r="E106" s="10" t="str">
        <f>"05"</f>
        <v>05</v>
      </c>
      <c r="F106" s="11" t="s">
        <v>19</v>
      </c>
      <c r="G106" s="11">
        <v>93.5</v>
      </c>
      <c r="H106" s="12">
        <v>77.9166666666667</v>
      </c>
      <c r="I106" s="11">
        <v>79.5</v>
      </c>
      <c r="J106" s="12">
        <v>66.25</v>
      </c>
      <c r="K106" s="11"/>
      <c r="L106" s="12">
        <v>72.0833333333333</v>
      </c>
    </row>
    <row r="107" ht="14.25" customHeight="1" spans="1:12">
      <c r="A107" s="9">
        <v>11</v>
      </c>
      <c r="B107" s="13" t="str">
        <f t="shared" si="8"/>
        <v>20240306</v>
      </c>
      <c r="C107" s="10" t="str">
        <f>"2420100813"</f>
        <v>2420100813</v>
      </c>
      <c r="D107" s="10" t="str">
        <f>"008"</f>
        <v>008</v>
      </c>
      <c r="E107" s="10" t="str">
        <f>"13"</f>
        <v>13</v>
      </c>
      <c r="F107" s="11" t="s">
        <v>19</v>
      </c>
      <c r="G107" s="11">
        <v>96</v>
      </c>
      <c r="H107" s="12">
        <v>80</v>
      </c>
      <c r="I107" s="11">
        <v>76</v>
      </c>
      <c r="J107" s="12">
        <v>63.3333333333333</v>
      </c>
      <c r="K107" s="11"/>
      <c r="L107" s="12">
        <v>71.6666666666667</v>
      </c>
    </row>
    <row r="108" ht="14.25" customHeight="1" spans="1:12">
      <c r="A108" s="9">
        <v>12</v>
      </c>
      <c r="B108" s="13" t="str">
        <f t="shared" si="8"/>
        <v>20240306</v>
      </c>
      <c r="C108" s="10" t="str">
        <f>"2420101103"</f>
        <v>2420101103</v>
      </c>
      <c r="D108" s="10" t="str">
        <f>"011"</f>
        <v>011</v>
      </c>
      <c r="E108" s="10" t="str">
        <f>"03"</f>
        <v>03</v>
      </c>
      <c r="F108" s="11" t="s">
        <v>19</v>
      </c>
      <c r="G108" s="11">
        <v>85</v>
      </c>
      <c r="H108" s="12">
        <v>70.8333333333333</v>
      </c>
      <c r="I108" s="11">
        <v>86.5</v>
      </c>
      <c r="J108" s="12">
        <v>72.0833333333333</v>
      </c>
      <c r="K108" s="11"/>
      <c r="L108" s="12">
        <v>71.4583333333333</v>
      </c>
    </row>
    <row r="109" ht="14.25" customHeight="1" spans="1:12">
      <c r="A109" s="9">
        <v>13</v>
      </c>
      <c r="B109" s="13" t="str">
        <f t="shared" si="8"/>
        <v>20240306</v>
      </c>
      <c r="C109" s="10" t="str">
        <f>"2420100910"</f>
        <v>2420100910</v>
      </c>
      <c r="D109" s="10" t="str">
        <f t="shared" si="9"/>
        <v>009</v>
      </c>
      <c r="E109" s="10" t="str">
        <f>"10"</f>
        <v>10</v>
      </c>
      <c r="F109" s="11" t="s">
        <v>19</v>
      </c>
      <c r="G109" s="11">
        <v>86</v>
      </c>
      <c r="H109" s="12">
        <v>71.6666666666667</v>
      </c>
      <c r="I109" s="11">
        <v>85</v>
      </c>
      <c r="J109" s="12">
        <v>70.8333333333333</v>
      </c>
      <c r="K109" s="11"/>
      <c r="L109" s="12">
        <v>71.25</v>
      </c>
    </row>
    <row r="110" ht="14.25" customHeight="1" spans="1:12">
      <c r="A110" s="9">
        <v>14</v>
      </c>
      <c r="B110" s="13" t="str">
        <f t="shared" si="8"/>
        <v>20240306</v>
      </c>
      <c r="C110" s="10" t="str">
        <f>"2420101006"</f>
        <v>2420101006</v>
      </c>
      <c r="D110" s="10" t="str">
        <f>"010"</f>
        <v>010</v>
      </c>
      <c r="E110" s="10" t="str">
        <f>"06"</f>
        <v>06</v>
      </c>
      <c r="F110" s="11" t="s">
        <v>19</v>
      </c>
      <c r="G110" s="11">
        <v>85</v>
      </c>
      <c r="H110" s="12">
        <v>70.8333333333333</v>
      </c>
      <c r="I110" s="11">
        <v>86</v>
      </c>
      <c r="J110" s="12">
        <v>71.6666666666667</v>
      </c>
      <c r="K110" s="11"/>
      <c r="L110" s="12">
        <v>71.25</v>
      </c>
    </row>
    <row r="111" ht="14.25" customHeight="1" spans="1:12">
      <c r="A111" s="9">
        <v>15</v>
      </c>
      <c r="B111" s="13" t="str">
        <f t="shared" si="8"/>
        <v>20240306</v>
      </c>
      <c r="C111" s="10" t="str">
        <f>"2420101203"</f>
        <v>2420101203</v>
      </c>
      <c r="D111" s="10" t="str">
        <f>"012"</f>
        <v>012</v>
      </c>
      <c r="E111" s="10" t="str">
        <f>"03"</f>
        <v>03</v>
      </c>
      <c r="F111" s="11" t="s">
        <v>19</v>
      </c>
      <c r="G111" s="11">
        <v>86.5</v>
      </c>
      <c r="H111" s="12">
        <v>72.0833333333333</v>
      </c>
      <c r="I111" s="11">
        <v>84.5</v>
      </c>
      <c r="J111" s="12">
        <v>70.4166666666667</v>
      </c>
      <c r="K111" s="11"/>
      <c r="L111" s="12">
        <v>71.25</v>
      </c>
    </row>
    <row r="112" ht="14.25" customHeight="1" spans="1:12">
      <c r="A112" s="9">
        <v>16</v>
      </c>
      <c r="B112" s="13" t="str">
        <f t="shared" si="8"/>
        <v>20240306</v>
      </c>
      <c r="C112" s="10" t="str">
        <f>"2420101408"</f>
        <v>2420101408</v>
      </c>
      <c r="D112" s="10" t="str">
        <f>"014"</f>
        <v>014</v>
      </c>
      <c r="E112" s="10" t="str">
        <f>"08"</f>
        <v>08</v>
      </c>
      <c r="F112" s="11" t="s">
        <v>19</v>
      </c>
      <c r="G112" s="11">
        <v>85.5</v>
      </c>
      <c r="H112" s="12">
        <v>71.25</v>
      </c>
      <c r="I112" s="11">
        <v>85.5</v>
      </c>
      <c r="J112" s="12">
        <v>71.25</v>
      </c>
      <c r="K112" s="11"/>
      <c r="L112" s="12">
        <v>71.25</v>
      </c>
    </row>
    <row r="113" ht="14.25" customHeight="1" spans="1:12">
      <c r="A113" s="9">
        <v>17</v>
      </c>
      <c r="B113" s="13" t="str">
        <f t="shared" si="8"/>
        <v>20240306</v>
      </c>
      <c r="C113" s="10" t="str">
        <f>"2420100314"</f>
        <v>2420100314</v>
      </c>
      <c r="D113" s="10" t="str">
        <f>"003"</f>
        <v>003</v>
      </c>
      <c r="E113" s="10" t="str">
        <f>"14"</f>
        <v>14</v>
      </c>
      <c r="F113" s="11" t="s">
        <v>19</v>
      </c>
      <c r="G113" s="11">
        <v>87</v>
      </c>
      <c r="H113" s="12">
        <v>72.5</v>
      </c>
      <c r="I113" s="11">
        <v>83</v>
      </c>
      <c r="J113" s="12">
        <v>69.1666666666667</v>
      </c>
      <c r="K113" s="11"/>
      <c r="L113" s="12">
        <v>70.8333333333333</v>
      </c>
    </row>
    <row r="114" ht="14.25" customHeight="1" spans="1:12">
      <c r="A114" s="9">
        <v>18</v>
      </c>
      <c r="B114" s="13" t="str">
        <f t="shared" si="8"/>
        <v>20240306</v>
      </c>
      <c r="C114" s="10" t="str">
        <f>"2420100420"</f>
        <v>2420100420</v>
      </c>
      <c r="D114" s="10" t="str">
        <f>"004"</f>
        <v>004</v>
      </c>
      <c r="E114" s="10" t="str">
        <f>"20"</f>
        <v>20</v>
      </c>
      <c r="F114" s="11" t="s">
        <v>19</v>
      </c>
      <c r="G114" s="11">
        <v>83.5</v>
      </c>
      <c r="H114" s="12">
        <v>69.5833333333333</v>
      </c>
      <c r="I114" s="11">
        <v>86.5</v>
      </c>
      <c r="J114" s="12">
        <v>72.0833333333333</v>
      </c>
      <c r="K114" s="11"/>
      <c r="L114" s="12">
        <v>70.8333333333333</v>
      </c>
    </row>
    <row r="115" ht="14.25" customHeight="1" spans="1:12">
      <c r="A115" s="9">
        <v>19</v>
      </c>
      <c r="B115" s="13" t="str">
        <f t="shared" si="8"/>
        <v>20240306</v>
      </c>
      <c r="C115" s="10" t="str">
        <f>"2420100713"</f>
        <v>2420100713</v>
      </c>
      <c r="D115" s="10" t="str">
        <f>"007"</f>
        <v>007</v>
      </c>
      <c r="E115" s="10" t="str">
        <f>"13"</f>
        <v>13</v>
      </c>
      <c r="F115" s="11" t="s">
        <v>19</v>
      </c>
      <c r="G115" s="11">
        <v>88.5</v>
      </c>
      <c r="H115" s="12">
        <v>73.75</v>
      </c>
      <c r="I115" s="11">
        <v>81</v>
      </c>
      <c r="J115" s="12">
        <v>67.5</v>
      </c>
      <c r="K115" s="11"/>
      <c r="L115" s="12">
        <v>70.625</v>
      </c>
    </row>
    <row r="116" ht="14.25" customHeight="1" spans="1:12">
      <c r="A116" s="9">
        <v>20</v>
      </c>
      <c r="B116" s="13" t="str">
        <f t="shared" si="8"/>
        <v>20240306</v>
      </c>
      <c r="C116" s="10" t="str">
        <f>"2420100927"</f>
        <v>2420100927</v>
      </c>
      <c r="D116" s="10" t="str">
        <f>"009"</f>
        <v>009</v>
      </c>
      <c r="E116" s="10" t="str">
        <f>"27"</f>
        <v>27</v>
      </c>
      <c r="F116" s="11" t="s">
        <v>19</v>
      </c>
      <c r="G116" s="11">
        <v>83.5</v>
      </c>
      <c r="H116" s="12">
        <v>69.5833333333333</v>
      </c>
      <c r="I116" s="11">
        <v>86</v>
      </c>
      <c r="J116" s="12">
        <v>71.6666666666667</v>
      </c>
      <c r="K116" s="11"/>
      <c r="L116" s="12">
        <v>70.625</v>
      </c>
    </row>
    <row r="117" ht="14.25" customHeight="1" spans="1:12">
      <c r="A117" s="9">
        <v>21</v>
      </c>
      <c r="B117" s="13" t="str">
        <f t="shared" si="8"/>
        <v>20240306</v>
      </c>
      <c r="C117" s="10" t="str">
        <f>"2420101418"</f>
        <v>2420101418</v>
      </c>
      <c r="D117" s="10" t="str">
        <f>"014"</f>
        <v>014</v>
      </c>
      <c r="E117" s="10" t="str">
        <f>"18"</f>
        <v>18</v>
      </c>
      <c r="F117" s="11" t="s">
        <v>19</v>
      </c>
      <c r="G117" s="11">
        <v>88.5</v>
      </c>
      <c r="H117" s="12">
        <v>73.75</v>
      </c>
      <c r="I117" s="11">
        <v>81</v>
      </c>
      <c r="J117" s="12">
        <v>67.5</v>
      </c>
      <c r="K117" s="11"/>
      <c r="L117" s="12">
        <v>70.625</v>
      </c>
    </row>
    <row r="118" ht="14.25" customHeight="1" spans="1:12">
      <c r="A118" s="9">
        <v>22</v>
      </c>
      <c r="B118" s="13" t="str">
        <f t="shared" si="8"/>
        <v>20240306</v>
      </c>
      <c r="C118" s="10" t="str">
        <f>"2420100427"</f>
        <v>2420100427</v>
      </c>
      <c r="D118" s="10" t="str">
        <f>"004"</f>
        <v>004</v>
      </c>
      <c r="E118" s="10" t="str">
        <f>"27"</f>
        <v>27</v>
      </c>
      <c r="F118" s="11" t="s">
        <v>19</v>
      </c>
      <c r="G118" s="11">
        <v>87.5</v>
      </c>
      <c r="H118" s="12">
        <v>72.9166666666667</v>
      </c>
      <c r="I118" s="11">
        <v>81.5</v>
      </c>
      <c r="J118" s="12">
        <v>67.9166666666667</v>
      </c>
      <c r="K118" s="11"/>
      <c r="L118" s="12">
        <v>70.4166666666667</v>
      </c>
    </row>
    <row r="119" ht="14.25" customHeight="1" spans="1:12">
      <c r="A119" s="9">
        <v>23</v>
      </c>
      <c r="B119" s="13" t="str">
        <f t="shared" si="8"/>
        <v>20240306</v>
      </c>
      <c r="C119" s="10" t="str">
        <f>"2420101024"</f>
        <v>2420101024</v>
      </c>
      <c r="D119" s="10" t="str">
        <f>"010"</f>
        <v>010</v>
      </c>
      <c r="E119" s="10" t="str">
        <f>"24"</f>
        <v>24</v>
      </c>
      <c r="F119" s="11" t="s">
        <v>19</v>
      </c>
      <c r="G119" s="11">
        <v>82.5</v>
      </c>
      <c r="H119" s="12">
        <v>68.75</v>
      </c>
      <c r="I119" s="11">
        <v>86</v>
      </c>
      <c r="J119" s="12">
        <v>71.6666666666667</v>
      </c>
      <c r="K119" s="11"/>
      <c r="L119" s="12">
        <v>70.2083333333333</v>
      </c>
    </row>
    <row r="120" ht="14.25" customHeight="1" spans="1:12">
      <c r="A120" s="9">
        <v>24</v>
      </c>
      <c r="B120" s="13" t="str">
        <f t="shared" si="8"/>
        <v>20240306</v>
      </c>
      <c r="C120" s="10" t="str">
        <f>"2420101417"</f>
        <v>2420101417</v>
      </c>
      <c r="D120" s="10" t="str">
        <f>"014"</f>
        <v>014</v>
      </c>
      <c r="E120" s="10" t="str">
        <f>"17"</f>
        <v>17</v>
      </c>
      <c r="F120" s="11" t="s">
        <v>19</v>
      </c>
      <c r="G120" s="11">
        <v>87</v>
      </c>
      <c r="H120" s="12">
        <v>72.5</v>
      </c>
      <c r="I120" s="11">
        <v>81.5</v>
      </c>
      <c r="J120" s="12">
        <v>67.9166666666667</v>
      </c>
      <c r="K120" s="11"/>
      <c r="L120" s="12">
        <v>70.2083333333333</v>
      </c>
    </row>
    <row r="121" ht="14.25" customHeight="1" spans="1:12">
      <c r="A121" s="9">
        <v>25</v>
      </c>
      <c r="B121" s="13" t="str">
        <f t="shared" si="8"/>
        <v>20240306</v>
      </c>
      <c r="C121" s="10" t="str">
        <f>"2420100217"</f>
        <v>2420100217</v>
      </c>
      <c r="D121" s="10" t="str">
        <f>"002"</f>
        <v>002</v>
      </c>
      <c r="E121" s="10" t="str">
        <f>"17"</f>
        <v>17</v>
      </c>
      <c r="F121" s="11" t="s">
        <v>19</v>
      </c>
      <c r="G121" s="11">
        <v>85</v>
      </c>
      <c r="H121" s="12">
        <v>70.8333333333333</v>
      </c>
      <c r="I121" s="11">
        <v>83</v>
      </c>
      <c r="J121" s="12">
        <v>69.1666666666667</v>
      </c>
      <c r="K121" s="11"/>
      <c r="L121" s="12">
        <v>70</v>
      </c>
    </row>
    <row r="122" ht="14.25" customHeight="1" spans="1:12">
      <c r="A122" s="9">
        <v>26</v>
      </c>
      <c r="B122" s="13" t="str">
        <f t="shared" si="8"/>
        <v>20240306</v>
      </c>
      <c r="C122" s="10" t="str">
        <f>"2420100828"</f>
        <v>2420100828</v>
      </c>
      <c r="D122" s="10" t="str">
        <f>"008"</f>
        <v>008</v>
      </c>
      <c r="E122" s="10" t="str">
        <f>"28"</f>
        <v>28</v>
      </c>
      <c r="F122" s="11" t="s">
        <v>19</v>
      </c>
      <c r="G122" s="11">
        <v>78</v>
      </c>
      <c r="H122" s="12">
        <v>65</v>
      </c>
      <c r="I122" s="11">
        <v>90</v>
      </c>
      <c r="J122" s="12">
        <v>75</v>
      </c>
      <c r="K122" s="11"/>
      <c r="L122" s="12">
        <v>70</v>
      </c>
    </row>
    <row r="123" ht="14.25" customHeight="1" spans="1:12">
      <c r="A123" s="9">
        <v>27</v>
      </c>
      <c r="B123" s="13" t="str">
        <f t="shared" si="8"/>
        <v>20240306</v>
      </c>
      <c r="C123" s="10" t="str">
        <f>"2420101214"</f>
        <v>2420101214</v>
      </c>
      <c r="D123" s="10" t="str">
        <f>"012"</f>
        <v>012</v>
      </c>
      <c r="E123" s="10" t="str">
        <f>"14"</f>
        <v>14</v>
      </c>
      <c r="F123" s="11" t="s">
        <v>19</v>
      </c>
      <c r="G123" s="11">
        <v>88</v>
      </c>
      <c r="H123" s="12">
        <v>73.3333333333333</v>
      </c>
      <c r="I123" s="11">
        <v>80</v>
      </c>
      <c r="J123" s="12">
        <v>66.6666666666667</v>
      </c>
      <c r="K123" s="11"/>
      <c r="L123" s="12">
        <v>70</v>
      </c>
    </row>
    <row r="124" ht="14.25" customHeight="1" spans="1:12">
      <c r="A124" s="24">
        <v>1</v>
      </c>
      <c r="B124" s="25" t="str">
        <f t="shared" ref="B124:B150" si="10">"20240307"</f>
        <v>20240307</v>
      </c>
      <c r="C124" s="26" t="str">
        <f>"2420102616"</f>
        <v>2420102616</v>
      </c>
      <c r="D124" s="26" t="str">
        <f>"026"</f>
        <v>026</v>
      </c>
      <c r="E124" s="26" t="str">
        <f>"16"</f>
        <v>16</v>
      </c>
      <c r="F124" s="27" t="s">
        <v>20</v>
      </c>
      <c r="G124" s="27">
        <v>98.5</v>
      </c>
      <c r="H124" s="28">
        <v>82.0833333333333</v>
      </c>
      <c r="I124" s="27">
        <v>95.5</v>
      </c>
      <c r="J124" s="28">
        <v>79.5833333333333</v>
      </c>
      <c r="K124" s="27"/>
      <c r="L124" s="28">
        <v>80.8333333333333</v>
      </c>
    </row>
    <row r="125" ht="14.25" customHeight="1" spans="1:12">
      <c r="A125" s="24">
        <v>2</v>
      </c>
      <c r="B125" s="25" t="str">
        <f t="shared" si="10"/>
        <v>20240307</v>
      </c>
      <c r="C125" s="26" t="str">
        <f>"2420101519"</f>
        <v>2420101519</v>
      </c>
      <c r="D125" s="26" t="str">
        <f>"015"</f>
        <v>015</v>
      </c>
      <c r="E125" s="26" t="str">
        <f>"19"</f>
        <v>19</v>
      </c>
      <c r="F125" s="27" t="s">
        <v>20</v>
      </c>
      <c r="G125" s="27">
        <v>93</v>
      </c>
      <c r="H125" s="28">
        <v>77.5</v>
      </c>
      <c r="I125" s="27">
        <v>94.5</v>
      </c>
      <c r="J125" s="28">
        <v>78.75</v>
      </c>
      <c r="K125" s="27"/>
      <c r="L125" s="28">
        <v>78.125</v>
      </c>
    </row>
    <row r="126" ht="14.25" customHeight="1" spans="1:12">
      <c r="A126" s="24">
        <v>3</v>
      </c>
      <c r="B126" s="25" t="str">
        <f t="shared" si="10"/>
        <v>20240307</v>
      </c>
      <c r="C126" s="26" t="str">
        <f>"2420101922"</f>
        <v>2420101922</v>
      </c>
      <c r="D126" s="26" t="str">
        <f>"019"</f>
        <v>019</v>
      </c>
      <c r="E126" s="26" t="str">
        <f>"22"</f>
        <v>22</v>
      </c>
      <c r="F126" s="27" t="s">
        <v>20</v>
      </c>
      <c r="G126" s="27">
        <v>93.5</v>
      </c>
      <c r="H126" s="28">
        <v>77.9166666666667</v>
      </c>
      <c r="I126" s="27">
        <v>88</v>
      </c>
      <c r="J126" s="28">
        <v>73.3333333333333</v>
      </c>
      <c r="K126" s="27"/>
      <c r="L126" s="28">
        <v>75.625</v>
      </c>
    </row>
    <row r="127" ht="14.25" customHeight="1" spans="1:12">
      <c r="A127" s="24">
        <v>4</v>
      </c>
      <c r="B127" s="25" t="str">
        <f t="shared" si="10"/>
        <v>20240307</v>
      </c>
      <c r="C127" s="26" t="str">
        <f>"2420102022"</f>
        <v>2420102022</v>
      </c>
      <c r="D127" s="26" t="str">
        <f t="shared" ref="D127:D133" si="11">"020"</f>
        <v>020</v>
      </c>
      <c r="E127" s="26" t="str">
        <f>"22"</f>
        <v>22</v>
      </c>
      <c r="F127" s="27" t="s">
        <v>20</v>
      </c>
      <c r="G127" s="27">
        <v>90</v>
      </c>
      <c r="H127" s="28">
        <v>75</v>
      </c>
      <c r="I127" s="27">
        <v>88.5</v>
      </c>
      <c r="J127" s="28">
        <v>73.75</v>
      </c>
      <c r="K127" s="27"/>
      <c r="L127" s="28">
        <v>74.375</v>
      </c>
    </row>
    <row r="128" ht="14.25" customHeight="1" spans="1:12">
      <c r="A128" s="24">
        <v>5</v>
      </c>
      <c r="B128" s="25" t="str">
        <f t="shared" si="10"/>
        <v>20240307</v>
      </c>
      <c r="C128" s="26" t="str">
        <f>"2420102125"</f>
        <v>2420102125</v>
      </c>
      <c r="D128" s="26" t="str">
        <f>"021"</f>
        <v>021</v>
      </c>
      <c r="E128" s="26" t="str">
        <f>"25"</f>
        <v>25</v>
      </c>
      <c r="F128" s="27" t="s">
        <v>20</v>
      </c>
      <c r="G128" s="27">
        <v>93</v>
      </c>
      <c r="H128" s="28">
        <v>77.5</v>
      </c>
      <c r="I128" s="27">
        <v>84</v>
      </c>
      <c r="J128" s="28">
        <v>70</v>
      </c>
      <c r="K128" s="27"/>
      <c r="L128" s="28">
        <v>73.75</v>
      </c>
    </row>
    <row r="129" ht="14.25" customHeight="1" spans="1:12">
      <c r="A129" s="24">
        <v>6</v>
      </c>
      <c r="B129" s="25" t="str">
        <f t="shared" si="10"/>
        <v>20240307</v>
      </c>
      <c r="C129" s="26" t="str">
        <f>"2420102021"</f>
        <v>2420102021</v>
      </c>
      <c r="D129" s="26" t="str">
        <f t="shared" si="11"/>
        <v>020</v>
      </c>
      <c r="E129" s="26" t="str">
        <f>"21"</f>
        <v>21</v>
      </c>
      <c r="F129" s="27" t="s">
        <v>20</v>
      </c>
      <c r="G129" s="27">
        <v>87.5</v>
      </c>
      <c r="H129" s="28">
        <v>72.9166666666667</v>
      </c>
      <c r="I129" s="27">
        <v>89</v>
      </c>
      <c r="J129" s="28">
        <v>74.1666666666667</v>
      </c>
      <c r="K129" s="27"/>
      <c r="L129" s="28">
        <v>73.5416666666667</v>
      </c>
    </row>
    <row r="130" ht="14.25" customHeight="1" spans="1:12">
      <c r="A130" s="24">
        <v>7</v>
      </c>
      <c r="B130" s="25" t="str">
        <f t="shared" si="10"/>
        <v>20240307</v>
      </c>
      <c r="C130" s="26" t="str">
        <f>"2420101802"</f>
        <v>2420101802</v>
      </c>
      <c r="D130" s="26" t="str">
        <f>"018"</f>
        <v>018</v>
      </c>
      <c r="E130" s="26" t="str">
        <f>"02"</f>
        <v>02</v>
      </c>
      <c r="F130" s="27" t="s">
        <v>20</v>
      </c>
      <c r="G130" s="27">
        <v>86.5</v>
      </c>
      <c r="H130" s="28">
        <v>72.0833333333333</v>
      </c>
      <c r="I130" s="27">
        <v>89</v>
      </c>
      <c r="J130" s="28">
        <v>74.1666666666667</v>
      </c>
      <c r="K130" s="27"/>
      <c r="L130" s="28">
        <v>73.125</v>
      </c>
    </row>
    <row r="131" ht="14.25" customHeight="1" spans="1:12">
      <c r="A131" s="24">
        <v>8</v>
      </c>
      <c r="B131" s="25" t="str">
        <f t="shared" si="10"/>
        <v>20240307</v>
      </c>
      <c r="C131" s="26" t="str">
        <f>"2420101725"</f>
        <v>2420101725</v>
      </c>
      <c r="D131" s="26" t="str">
        <f>"017"</f>
        <v>017</v>
      </c>
      <c r="E131" s="26" t="str">
        <f>"25"</f>
        <v>25</v>
      </c>
      <c r="F131" s="27" t="s">
        <v>20</v>
      </c>
      <c r="G131" s="27">
        <v>91.5</v>
      </c>
      <c r="H131" s="28">
        <v>76.25</v>
      </c>
      <c r="I131" s="27">
        <v>83.5</v>
      </c>
      <c r="J131" s="28">
        <v>69.5833333333333</v>
      </c>
      <c r="K131" s="27"/>
      <c r="L131" s="28">
        <v>72.9166666666667</v>
      </c>
    </row>
    <row r="132" ht="14.25" customHeight="1" spans="1:12">
      <c r="A132" s="24">
        <v>9</v>
      </c>
      <c r="B132" s="25" t="str">
        <f t="shared" si="10"/>
        <v>20240307</v>
      </c>
      <c r="C132" s="26" t="str">
        <f>"2420102020"</f>
        <v>2420102020</v>
      </c>
      <c r="D132" s="26" t="str">
        <f t="shared" si="11"/>
        <v>020</v>
      </c>
      <c r="E132" s="26" t="str">
        <f>"20"</f>
        <v>20</v>
      </c>
      <c r="F132" s="27" t="s">
        <v>20</v>
      </c>
      <c r="G132" s="27">
        <v>88.5</v>
      </c>
      <c r="H132" s="28">
        <v>73.75</v>
      </c>
      <c r="I132" s="27">
        <v>86</v>
      </c>
      <c r="J132" s="28">
        <v>71.6666666666667</v>
      </c>
      <c r="K132" s="27"/>
      <c r="L132" s="28">
        <v>72.7083333333333</v>
      </c>
    </row>
    <row r="133" ht="14.25" customHeight="1" spans="1:12">
      <c r="A133" s="24">
        <v>10</v>
      </c>
      <c r="B133" s="25" t="str">
        <f t="shared" si="10"/>
        <v>20240307</v>
      </c>
      <c r="C133" s="26" t="str">
        <f>"2420102029"</f>
        <v>2420102029</v>
      </c>
      <c r="D133" s="26" t="str">
        <f t="shared" si="11"/>
        <v>020</v>
      </c>
      <c r="E133" s="26" t="str">
        <f>"29"</f>
        <v>29</v>
      </c>
      <c r="F133" s="27" t="s">
        <v>20</v>
      </c>
      <c r="G133" s="27">
        <v>97.5</v>
      </c>
      <c r="H133" s="28">
        <v>81.25</v>
      </c>
      <c r="I133" s="27">
        <v>77</v>
      </c>
      <c r="J133" s="28">
        <v>64.1666666666667</v>
      </c>
      <c r="K133" s="27"/>
      <c r="L133" s="28">
        <v>72.7083333333333</v>
      </c>
    </row>
    <row r="134" ht="14.25" customHeight="1" spans="1:12">
      <c r="A134" s="24">
        <v>11</v>
      </c>
      <c r="B134" s="25" t="str">
        <f t="shared" si="10"/>
        <v>20240307</v>
      </c>
      <c r="C134" s="26" t="str">
        <f>"2420102414"</f>
        <v>2420102414</v>
      </c>
      <c r="D134" s="26" t="str">
        <f>"024"</f>
        <v>024</v>
      </c>
      <c r="E134" s="26" t="str">
        <f>"14"</f>
        <v>14</v>
      </c>
      <c r="F134" s="27" t="s">
        <v>20</v>
      </c>
      <c r="G134" s="27">
        <v>97.5</v>
      </c>
      <c r="H134" s="28">
        <v>81.25</v>
      </c>
      <c r="I134" s="27">
        <v>75</v>
      </c>
      <c r="J134" s="28">
        <v>62.5</v>
      </c>
      <c r="K134" s="27"/>
      <c r="L134" s="28">
        <v>71.875</v>
      </c>
    </row>
    <row r="135" ht="14.25" customHeight="1" spans="1:12">
      <c r="A135" s="24">
        <v>12</v>
      </c>
      <c r="B135" s="25" t="str">
        <f t="shared" si="10"/>
        <v>20240307</v>
      </c>
      <c r="C135" s="26" t="str">
        <f>"2420101629"</f>
        <v>2420101629</v>
      </c>
      <c r="D135" s="26" t="str">
        <f>"016"</f>
        <v>016</v>
      </c>
      <c r="E135" s="26" t="str">
        <f>"29"</f>
        <v>29</v>
      </c>
      <c r="F135" s="27" t="s">
        <v>20</v>
      </c>
      <c r="G135" s="27">
        <v>84</v>
      </c>
      <c r="H135" s="28">
        <v>70</v>
      </c>
      <c r="I135" s="27">
        <v>88</v>
      </c>
      <c r="J135" s="28">
        <v>73.3333333333333</v>
      </c>
      <c r="K135" s="27"/>
      <c r="L135" s="28">
        <v>71.6666666666667</v>
      </c>
    </row>
    <row r="136" ht="14.25" customHeight="1" spans="1:12">
      <c r="A136" s="24">
        <v>13</v>
      </c>
      <c r="B136" s="25" t="str">
        <f t="shared" si="10"/>
        <v>20240307</v>
      </c>
      <c r="C136" s="26" t="str">
        <f>"2420101814"</f>
        <v>2420101814</v>
      </c>
      <c r="D136" s="26" t="str">
        <f>"018"</f>
        <v>018</v>
      </c>
      <c r="E136" s="26" t="str">
        <f>"14"</f>
        <v>14</v>
      </c>
      <c r="F136" s="27" t="s">
        <v>20</v>
      </c>
      <c r="G136" s="27">
        <v>83.5</v>
      </c>
      <c r="H136" s="28">
        <v>69.5833333333333</v>
      </c>
      <c r="I136" s="27">
        <v>88</v>
      </c>
      <c r="J136" s="28">
        <v>73.3333333333333</v>
      </c>
      <c r="K136" s="27"/>
      <c r="L136" s="28">
        <v>71.4583333333333</v>
      </c>
    </row>
    <row r="137" ht="14.25" customHeight="1" spans="1:12">
      <c r="A137" s="24">
        <v>14</v>
      </c>
      <c r="B137" s="25" t="str">
        <f t="shared" si="10"/>
        <v>20240307</v>
      </c>
      <c r="C137" s="26" t="str">
        <f>"2420102228"</f>
        <v>2420102228</v>
      </c>
      <c r="D137" s="26" t="str">
        <f t="shared" ref="D137:D142" si="12">"022"</f>
        <v>022</v>
      </c>
      <c r="E137" s="26" t="str">
        <f>"28"</f>
        <v>28</v>
      </c>
      <c r="F137" s="27" t="s">
        <v>20</v>
      </c>
      <c r="G137" s="27">
        <v>84</v>
      </c>
      <c r="H137" s="28">
        <v>70</v>
      </c>
      <c r="I137" s="27">
        <v>87.5</v>
      </c>
      <c r="J137" s="28">
        <v>72.9166666666667</v>
      </c>
      <c r="K137" s="27"/>
      <c r="L137" s="28">
        <v>71.4583333333333</v>
      </c>
    </row>
    <row r="138" ht="14.25" customHeight="1" spans="1:12">
      <c r="A138" s="24">
        <v>15</v>
      </c>
      <c r="B138" s="25" t="str">
        <f t="shared" si="10"/>
        <v>20240307</v>
      </c>
      <c r="C138" s="26" t="str">
        <f>"2420102222"</f>
        <v>2420102222</v>
      </c>
      <c r="D138" s="26" t="str">
        <f t="shared" si="12"/>
        <v>022</v>
      </c>
      <c r="E138" s="26" t="str">
        <f>"22"</f>
        <v>22</v>
      </c>
      <c r="F138" s="27" t="s">
        <v>20</v>
      </c>
      <c r="G138" s="27">
        <v>91.5</v>
      </c>
      <c r="H138" s="28">
        <v>76.25</v>
      </c>
      <c r="I138" s="27">
        <v>77.5</v>
      </c>
      <c r="J138" s="28">
        <v>64.5833333333333</v>
      </c>
      <c r="K138" s="27"/>
      <c r="L138" s="28">
        <v>70.4166666666667</v>
      </c>
    </row>
    <row r="139" ht="14.25" customHeight="1" spans="1:12">
      <c r="A139" s="24">
        <v>16</v>
      </c>
      <c r="B139" s="25" t="str">
        <f t="shared" si="10"/>
        <v>20240307</v>
      </c>
      <c r="C139" s="26" t="str">
        <f>"2420101929"</f>
        <v>2420101929</v>
      </c>
      <c r="D139" s="26" t="str">
        <f>"019"</f>
        <v>019</v>
      </c>
      <c r="E139" s="26" t="str">
        <f>"29"</f>
        <v>29</v>
      </c>
      <c r="F139" s="27" t="s">
        <v>20</v>
      </c>
      <c r="G139" s="27">
        <v>89</v>
      </c>
      <c r="H139" s="28">
        <v>74.1666666666667</v>
      </c>
      <c r="I139" s="27">
        <v>79.5</v>
      </c>
      <c r="J139" s="28">
        <v>66.25</v>
      </c>
      <c r="K139" s="27"/>
      <c r="L139" s="28">
        <v>70.2083333333333</v>
      </c>
    </row>
    <row r="140" ht="14.25" customHeight="1" spans="1:12">
      <c r="A140" s="24">
        <v>17</v>
      </c>
      <c r="B140" s="25" t="str">
        <f t="shared" si="10"/>
        <v>20240307</v>
      </c>
      <c r="C140" s="26" t="str">
        <f>"2420102801"</f>
        <v>2420102801</v>
      </c>
      <c r="D140" s="26" t="str">
        <f>"028"</f>
        <v>028</v>
      </c>
      <c r="E140" s="26" t="str">
        <f>"01"</f>
        <v>01</v>
      </c>
      <c r="F140" s="27" t="s">
        <v>20</v>
      </c>
      <c r="G140" s="27">
        <v>83.5</v>
      </c>
      <c r="H140" s="28">
        <v>69.5833333333333</v>
      </c>
      <c r="I140" s="27">
        <v>85</v>
      </c>
      <c r="J140" s="28">
        <v>70.8333333333333</v>
      </c>
      <c r="K140" s="27"/>
      <c r="L140" s="28">
        <v>70.2083333333333</v>
      </c>
    </row>
    <row r="141" ht="14.25" customHeight="1" spans="1:12">
      <c r="A141" s="24">
        <v>18</v>
      </c>
      <c r="B141" s="25" t="str">
        <f t="shared" si="10"/>
        <v>20240307</v>
      </c>
      <c r="C141" s="26" t="str">
        <f>"2420102026"</f>
        <v>2420102026</v>
      </c>
      <c r="D141" s="26" t="str">
        <f>"020"</f>
        <v>020</v>
      </c>
      <c r="E141" s="26" t="str">
        <f>"26"</f>
        <v>26</v>
      </c>
      <c r="F141" s="27" t="s">
        <v>20</v>
      </c>
      <c r="G141" s="27">
        <v>91</v>
      </c>
      <c r="H141" s="28">
        <v>75.8333333333333</v>
      </c>
      <c r="I141" s="27">
        <v>77</v>
      </c>
      <c r="J141" s="28">
        <v>64.1666666666667</v>
      </c>
      <c r="K141" s="27"/>
      <c r="L141" s="28">
        <v>70</v>
      </c>
    </row>
    <row r="142" ht="14.25" customHeight="1" spans="1:12">
      <c r="A142" s="24">
        <v>19</v>
      </c>
      <c r="B142" s="25" t="str">
        <f t="shared" si="10"/>
        <v>20240307</v>
      </c>
      <c r="C142" s="26" t="str">
        <f>"2420102229"</f>
        <v>2420102229</v>
      </c>
      <c r="D142" s="26" t="str">
        <f t="shared" si="12"/>
        <v>022</v>
      </c>
      <c r="E142" s="26" t="str">
        <f>"29"</f>
        <v>29</v>
      </c>
      <c r="F142" s="27" t="s">
        <v>20</v>
      </c>
      <c r="G142" s="27">
        <v>89</v>
      </c>
      <c r="H142" s="28">
        <v>74.1666666666667</v>
      </c>
      <c r="I142" s="27">
        <v>79</v>
      </c>
      <c r="J142" s="28">
        <v>65.8333333333333</v>
      </c>
      <c r="K142" s="27"/>
      <c r="L142" s="28">
        <v>70</v>
      </c>
    </row>
    <row r="143" ht="14.25" customHeight="1" spans="1:12">
      <c r="A143" s="24">
        <v>20</v>
      </c>
      <c r="B143" s="25" t="str">
        <f t="shared" si="10"/>
        <v>20240307</v>
      </c>
      <c r="C143" s="26" t="str">
        <f>"2420102711"</f>
        <v>2420102711</v>
      </c>
      <c r="D143" s="26" t="str">
        <f>"027"</f>
        <v>027</v>
      </c>
      <c r="E143" s="26" t="str">
        <f>"11"</f>
        <v>11</v>
      </c>
      <c r="F143" s="27" t="s">
        <v>20</v>
      </c>
      <c r="G143" s="27">
        <v>81.5</v>
      </c>
      <c r="H143" s="28">
        <v>67.9166666666667</v>
      </c>
      <c r="I143" s="27">
        <v>86.5</v>
      </c>
      <c r="J143" s="28">
        <v>72.0833333333333</v>
      </c>
      <c r="K143" s="27"/>
      <c r="L143" s="28">
        <v>70</v>
      </c>
    </row>
    <row r="144" ht="14.25" customHeight="1" spans="1:12">
      <c r="A144" s="24">
        <v>21</v>
      </c>
      <c r="B144" s="25" t="str">
        <f t="shared" si="10"/>
        <v>20240307</v>
      </c>
      <c r="C144" s="26" t="str">
        <f>"2420102818"</f>
        <v>2420102818</v>
      </c>
      <c r="D144" s="26" t="str">
        <f>"028"</f>
        <v>028</v>
      </c>
      <c r="E144" s="26" t="str">
        <f>"18"</f>
        <v>18</v>
      </c>
      <c r="F144" s="27" t="s">
        <v>20</v>
      </c>
      <c r="G144" s="27">
        <v>85</v>
      </c>
      <c r="H144" s="28">
        <v>70.8333333333333</v>
      </c>
      <c r="I144" s="27">
        <v>83</v>
      </c>
      <c r="J144" s="28">
        <v>69.1666666666667</v>
      </c>
      <c r="K144" s="27"/>
      <c r="L144" s="28">
        <v>70</v>
      </c>
    </row>
    <row r="145" ht="14.25" customHeight="1" spans="1:12">
      <c r="A145" s="24">
        <v>22</v>
      </c>
      <c r="B145" s="25" t="str">
        <f t="shared" si="10"/>
        <v>20240307</v>
      </c>
      <c r="C145" s="26" t="str">
        <f>"2420102127"</f>
        <v>2420102127</v>
      </c>
      <c r="D145" s="26" t="str">
        <f>"021"</f>
        <v>021</v>
      </c>
      <c r="E145" s="26" t="str">
        <f>"27"</f>
        <v>27</v>
      </c>
      <c r="F145" s="27" t="s">
        <v>20</v>
      </c>
      <c r="G145" s="27">
        <v>94</v>
      </c>
      <c r="H145" s="28">
        <v>78.3333333333333</v>
      </c>
      <c r="I145" s="27">
        <v>73.5</v>
      </c>
      <c r="J145" s="28">
        <v>61.25</v>
      </c>
      <c r="K145" s="27"/>
      <c r="L145" s="28">
        <v>69.7916666666667</v>
      </c>
    </row>
    <row r="146" ht="14.25" customHeight="1" spans="1:12">
      <c r="A146" s="24">
        <v>23</v>
      </c>
      <c r="B146" s="25" t="str">
        <f t="shared" si="10"/>
        <v>20240307</v>
      </c>
      <c r="C146" s="26" t="str">
        <f>"2420102514"</f>
        <v>2420102514</v>
      </c>
      <c r="D146" s="26" t="str">
        <f>"025"</f>
        <v>025</v>
      </c>
      <c r="E146" s="26" t="str">
        <f>"14"</f>
        <v>14</v>
      </c>
      <c r="F146" s="27" t="s">
        <v>20</v>
      </c>
      <c r="G146" s="27">
        <v>77.5</v>
      </c>
      <c r="H146" s="28">
        <v>64.5833333333333</v>
      </c>
      <c r="I146" s="27">
        <v>89.5</v>
      </c>
      <c r="J146" s="28">
        <v>74.5833333333333</v>
      </c>
      <c r="K146" s="27"/>
      <c r="L146" s="28">
        <v>69.5833333333333</v>
      </c>
    </row>
    <row r="147" ht="14.25" customHeight="1" spans="1:12">
      <c r="A147" s="24">
        <v>24</v>
      </c>
      <c r="B147" s="25" t="str">
        <f t="shared" si="10"/>
        <v>20240307</v>
      </c>
      <c r="C147" s="26" t="str">
        <f>"2420102601"</f>
        <v>2420102601</v>
      </c>
      <c r="D147" s="26" t="str">
        <f>"026"</f>
        <v>026</v>
      </c>
      <c r="E147" s="26" t="str">
        <f>"01"</f>
        <v>01</v>
      </c>
      <c r="F147" s="27" t="s">
        <v>20</v>
      </c>
      <c r="G147" s="27">
        <v>79.5</v>
      </c>
      <c r="H147" s="28">
        <v>66.25</v>
      </c>
      <c r="I147" s="27">
        <v>87.5</v>
      </c>
      <c r="J147" s="28">
        <v>72.9166666666667</v>
      </c>
      <c r="K147" s="27"/>
      <c r="L147" s="28">
        <v>69.5833333333333</v>
      </c>
    </row>
    <row r="148" ht="14.25" customHeight="1" spans="1:12">
      <c r="A148" s="24">
        <v>25</v>
      </c>
      <c r="B148" s="25" t="str">
        <f t="shared" si="10"/>
        <v>20240307</v>
      </c>
      <c r="C148" s="26" t="str">
        <f>"2420101518"</f>
        <v>2420101518</v>
      </c>
      <c r="D148" s="26" t="str">
        <f>"015"</f>
        <v>015</v>
      </c>
      <c r="E148" s="26" t="str">
        <f>"18"</f>
        <v>18</v>
      </c>
      <c r="F148" s="27" t="s">
        <v>20</v>
      </c>
      <c r="G148" s="27">
        <v>99</v>
      </c>
      <c r="H148" s="28">
        <v>82.5</v>
      </c>
      <c r="I148" s="27">
        <v>66.5</v>
      </c>
      <c r="J148" s="28">
        <v>55.4166666666667</v>
      </c>
      <c r="K148" s="27"/>
      <c r="L148" s="28">
        <v>68.9583333333333</v>
      </c>
    </row>
    <row r="149" ht="14.25" customHeight="1" spans="1:12">
      <c r="A149" s="24">
        <v>26</v>
      </c>
      <c r="B149" s="25" t="str">
        <f t="shared" si="10"/>
        <v>20240307</v>
      </c>
      <c r="C149" s="26" t="str">
        <f>"2420101704"</f>
        <v>2420101704</v>
      </c>
      <c r="D149" s="26" t="str">
        <f>"017"</f>
        <v>017</v>
      </c>
      <c r="E149" s="26" t="str">
        <f>"04"</f>
        <v>04</v>
      </c>
      <c r="F149" s="27" t="s">
        <v>20</v>
      </c>
      <c r="G149" s="27">
        <v>91.5</v>
      </c>
      <c r="H149" s="28">
        <v>76.25</v>
      </c>
      <c r="I149" s="27">
        <v>74</v>
      </c>
      <c r="J149" s="28">
        <v>61.6666666666667</v>
      </c>
      <c r="K149" s="27"/>
      <c r="L149" s="28">
        <v>68.9583333333333</v>
      </c>
    </row>
    <row r="150" ht="14.25" customHeight="1" spans="1:12">
      <c r="A150" s="24">
        <v>27</v>
      </c>
      <c r="B150" s="25" t="str">
        <f t="shared" si="10"/>
        <v>20240307</v>
      </c>
      <c r="C150" s="26" t="str">
        <f>"2420101913"</f>
        <v>2420101913</v>
      </c>
      <c r="D150" s="26" t="str">
        <f>"019"</f>
        <v>019</v>
      </c>
      <c r="E150" s="26" t="str">
        <f>"13"</f>
        <v>13</v>
      </c>
      <c r="F150" s="27" t="s">
        <v>20</v>
      </c>
      <c r="G150" s="27">
        <v>76.5</v>
      </c>
      <c r="H150" s="28">
        <v>63.75</v>
      </c>
      <c r="I150" s="27">
        <v>89</v>
      </c>
      <c r="J150" s="28">
        <v>74.1666666666667</v>
      </c>
      <c r="K150" s="27"/>
      <c r="L150" s="28">
        <v>68.9583333333333</v>
      </c>
    </row>
    <row r="151" ht="14.25" customHeight="1" spans="1:12">
      <c r="A151" s="29">
        <v>1</v>
      </c>
      <c r="B151" s="30" t="str">
        <f t="shared" ref="B151:B174" si="13">"20240308"</f>
        <v>20240308</v>
      </c>
      <c r="C151" s="31" t="str">
        <f>"2420104019"</f>
        <v>2420104019</v>
      </c>
      <c r="D151" s="31" t="str">
        <f>"040"</f>
        <v>040</v>
      </c>
      <c r="E151" s="31" t="str">
        <f>"19"</f>
        <v>19</v>
      </c>
      <c r="F151" s="32" t="s">
        <v>21</v>
      </c>
      <c r="G151" s="32">
        <v>85</v>
      </c>
      <c r="H151" s="33">
        <v>70.8333333333333</v>
      </c>
      <c r="I151" s="32">
        <v>107.6</v>
      </c>
      <c r="J151" s="33">
        <v>89.6666666666667</v>
      </c>
      <c r="K151" s="32"/>
      <c r="L151" s="33">
        <v>80.25</v>
      </c>
    </row>
    <row r="152" ht="14.25" customHeight="1" spans="1:12">
      <c r="A152" s="29">
        <v>2</v>
      </c>
      <c r="B152" s="30" t="str">
        <f t="shared" si="13"/>
        <v>20240308</v>
      </c>
      <c r="C152" s="31" t="str">
        <f>"2420103915"</f>
        <v>2420103915</v>
      </c>
      <c r="D152" s="31" t="str">
        <f>"039"</f>
        <v>039</v>
      </c>
      <c r="E152" s="31" t="str">
        <f>"15"</f>
        <v>15</v>
      </c>
      <c r="F152" s="32" t="s">
        <v>21</v>
      </c>
      <c r="G152" s="32">
        <v>83.5</v>
      </c>
      <c r="H152" s="33">
        <v>69.5833333333333</v>
      </c>
      <c r="I152" s="32">
        <v>104.4</v>
      </c>
      <c r="J152" s="33">
        <v>87</v>
      </c>
      <c r="K152" s="32"/>
      <c r="L152" s="33">
        <v>78.2916666666667</v>
      </c>
    </row>
    <row r="153" ht="14.25" customHeight="1" spans="1:12">
      <c r="A153" s="29">
        <v>3</v>
      </c>
      <c r="B153" s="30" t="str">
        <f t="shared" si="13"/>
        <v>20240308</v>
      </c>
      <c r="C153" s="31" t="str">
        <f>"2420103326"</f>
        <v>2420103326</v>
      </c>
      <c r="D153" s="31" t="str">
        <f>"033"</f>
        <v>033</v>
      </c>
      <c r="E153" s="31" t="str">
        <f>"26"</f>
        <v>26</v>
      </c>
      <c r="F153" s="32" t="s">
        <v>21</v>
      </c>
      <c r="G153" s="32">
        <v>93.5</v>
      </c>
      <c r="H153" s="33">
        <v>77.9166666666667</v>
      </c>
      <c r="I153" s="32">
        <v>93.1</v>
      </c>
      <c r="J153" s="33">
        <v>77.5833333333333</v>
      </c>
      <c r="K153" s="32"/>
      <c r="L153" s="33">
        <v>77.75</v>
      </c>
    </row>
    <row r="154" ht="14.25" customHeight="1" spans="1:12">
      <c r="A154" s="29">
        <v>4</v>
      </c>
      <c r="B154" s="30" t="str">
        <f t="shared" si="13"/>
        <v>20240308</v>
      </c>
      <c r="C154" s="31" t="str">
        <f>"2420103909"</f>
        <v>2420103909</v>
      </c>
      <c r="D154" s="31" t="str">
        <f>"039"</f>
        <v>039</v>
      </c>
      <c r="E154" s="31" t="str">
        <f>"09"</f>
        <v>09</v>
      </c>
      <c r="F154" s="32" t="s">
        <v>21</v>
      </c>
      <c r="G154" s="32">
        <v>88</v>
      </c>
      <c r="H154" s="33">
        <v>73.3333333333333</v>
      </c>
      <c r="I154" s="32">
        <v>98.2</v>
      </c>
      <c r="J154" s="33">
        <v>81.8333333333333</v>
      </c>
      <c r="K154" s="32"/>
      <c r="L154" s="33">
        <v>77.5833333333333</v>
      </c>
    </row>
    <row r="155" ht="14.25" customHeight="1" spans="1:12">
      <c r="A155" s="29">
        <v>5</v>
      </c>
      <c r="B155" s="30" t="str">
        <f t="shared" si="13"/>
        <v>20240308</v>
      </c>
      <c r="C155" s="31" t="str">
        <f>"2420103610"</f>
        <v>2420103610</v>
      </c>
      <c r="D155" s="31" t="str">
        <f>"036"</f>
        <v>036</v>
      </c>
      <c r="E155" s="31" t="str">
        <f>"10"</f>
        <v>10</v>
      </c>
      <c r="F155" s="32" t="s">
        <v>21</v>
      </c>
      <c r="G155" s="32">
        <v>92</v>
      </c>
      <c r="H155" s="33">
        <v>76.6666666666667</v>
      </c>
      <c r="I155" s="32">
        <v>92.9</v>
      </c>
      <c r="J155" s="33">
        <v>77.4166666666667</v>
      </c>
      <c r="K155" s="32"/>
      <c r="L155" s="33">
        <v>77.0416666666667</v>
      </c>
    </row>
    <row r="156" ht="14.25" customHeight="1" spans="1:12">
      <c r="A156" s="29">
        <v>6</v>
      </c>
      <c r="B156" s="30" t="str">
        <f t="shared" si="13"/>
        <v>20240308</v>
      </c>
      <c r="C156" s="31" t="str">
        <f>"2420104225"</f>
        <v>2420104225</v>
      </c>
      <c r="D156" s="31" t="str">
        <f>"042"</f>
        <v>042</v>
      </c>
      <c r="E156" s="31" t="str">
        <f>"25"</f>
        <v>25</v>
      </c>
      <c r="F156" s="32" t="s">
        <v>21</v>
      </c>
      <c r="G156" s="32">
        <v>87</v>
      </c>
      <c r="H156" s="33">
        <v>72.5</v>
      </c>
      <c r="I156" s="32">
        <v>97</v>
      </c>
      <c r="J156" s="33">
        <v>80.8333333333333</v>
      </c>
      <c r="K156" s="32"/>
      <c r="L156" s="33">
        <v>76.6666666666667</v>
      </c>
    </row>
    <row r="157" ht="14.25" customHeight="1" spans="1:12">
      <c r="A157" s="29">
        <v>7</v>
      </c>
      <c r="B157" s="30" t="str">
        <f t="shared" si="13"/>
        <v>20240308</v>
      </c>
      <c r="C157" s="31" t="str">
        <f>"2420103016"</f>
        <v>2420103016</v>
      </c>
      <c r="D157" s="31" t="str">
        <f>"030"</f>
        <v>030</v>
      </c>
      <c r="E157" s="31" t="str">
        <f>"16"</f>
        <v>16</v>
      </c>
      <c r="F157" s="32" t="s">
        <v>21</v>
      </c>
      <c r="G157" s="32">
        <v>93.5</v>
      </c>
      <c r="H157" s="33">
        <v>77.9166666666667</v>
      </c>
      <c r="I157" s="32">
        <v>89.9</v>
      </c>
      <c r="J157" s="33">
        <v>74.9166666666667</v>
      </c>
      <c r="K157" s="32"/>
      <c r="L157" s="33">
        <v>76.4166666666667</v>
      </c>
    </row>
    <row r="158" ht="14.25" customHeight="1" spans="1:12">
      <c r="A158" s="29">
        <v>8</v>
      </c>
      <c r="B158" s="30" t="str">
        <f t="shared" si="13"/>
        <v>20240308</v>
      </c>
      <c r="C158" s="31" t="str">
        <f>"2420104229"</f>
        <v>2420104229</v>
      </c>
      <c r="D158" s="31" t="str">
        <f>"042"</f>
        <v>042</v>
      </c>
      <c r="E158" s="31" t="str">
        <f>"29"</f>
        <v>29</v>
      </c>
      <c r="F158" s="32" t="s">
        <v>21</v>
      </c>
      <c r="G158" s="32">
        <v>88</v>
      </c>
      <c r="H158" s="33">
        <v>73.3333333333333</v>
      </c>
      <c r="I158" s="32">
        <v>94</v>
      </c>
      <c r="J158" s="33">
        <v>78.3333333333333</v>
      </c>
      <c r="K158" s="32"/>
      <c r="L158" s="33">
        <v>75.8333333333333</v>
      </c>
    </row>
    <row r="159" ht="14.25" customHeight="1" spans="1:12">
      <c r="A159" s="29">
        <v>9</v>
      </c>
      <c r="B159" s="30" t="str">
        <f t="shared" si="13"/>
        <v>20240308</v>
      </c>
      <c r="C159" s="31" t="str">
        <f>"2420103022"</f>
        <v>2420103022</v>
      </c>
      <c r="D159" s="31" t="str">
        <f>"030"</f>
        <v>030</v>
      </c>
      <c r="E159" s="31" t="str">
        <f>"22"</f>
        <v>22</v>
      </c>
      <c r="F159" s="32" t="s">
        <v>21</v>
      </c>
      <c r="G159" s="32">
        <v>83</v>
      </c>
      <c r="H159" s="33">
        <v>69.1666666666667</v>
      </c>
      <c r="I159" s="32">
        <v>98.9</v>
      </c>
      <c r="J159" s="33">
        <v>82.4166666666667</v>
      </c>
      <c r="K159" s="32"/>
      <c r="L159" s="33">
        <v>75.7916666666667</v>
      </c>
    </row>
    <row r="160" ht="14.25" customHeight="1" spans="1:12">
      <c r="A160" s="29">
        <v>10</v>
      </c>
      <c r="B160" s="30" t="str">
        <f t="shared" si="13"/>
        <v>20240308</v>
      </c>
      <c r="C160" s="31" t="str">
        <f>"2420104301"</f>
        <v>2420104301</v>
      </c>
      <c r="D160" s="31" t="str">
        <f>"043"</f>
        <v>043</v>
      </c>
      <c r="E160" s="31" t="str">
        <f>"01"</f>
        <v>01</v>
      </c>
      <c r="F160" s="32" t="s">
        <v>21</v>
      </c>
      <c r="G160" s="32">
        <v>83</v>
      </c>
      <c r="H160" s="33">
        <v>69.1666666666667</v>
      </c>
      <c r="I160" s="32">
        <v>98.8</v>
      </c>
      <c r="J160" s="33">
        <v>82.3333333333333</v>
      </c>
      <c r="K160" s="32"/>
      <c r="L160" s="33">
        <v>75.75</v>
      </c>
    </row>
    <row r="161" ht="14.25" customHeight="1" spans="1:12">
      <c r="A161" s="29">
        <v>11</v>
      </c>
      <c r="B161" s="30" t="str">
        <f t="shared" si="13"/>
        <v>20240308</v>
      </c>
      <c r="C161" s="31" t="str">
        <f>"2420103929"</f>
        <v>2420103929</v>
      </c>
      <c r="D161" s="31" t="str">
        <f>"039"</f>
        <v>039</v>
      </c>
      <c r="E161" s="31" t="str">
        <f>"29"</f>
        <v>29</v>
      </c>
      <c r="F161" s="32" t="s">
        <v>21</v>
      </c>
      <c r="G161" s="32">
        <v>87.5</v>
      </c>
      <c r="H161" s="33">
        <v>72.9166666666667</v>
      </c>
      <c r="I161" s="32">
        <v>94</v>
      </c>
      <c r="J161" s="33">
        <v>78.3333333333333</v>
      </c>
      <c r="K161" s="32"/>
      <c r="L161" s="33">
        <v>75.625</v>
      </c>
    </row>
    <row r="162" ht="14.25" customHeight="1" spans="1:12">
      <c r="A162" s="29">
        <v>12</v>
      </c>
      <c r="B162" s="30" t="str">
        <f t="shared" si="13"/>
        <v>20240308</v>
      </c>
      <c r="C162" s="31" t="str">
        <f>"2420103314"</f>
        <v>2420103314</v>
      </c>
      <c r="D162" s="31" t="str">
        <f>"033"</f>
        <v>033</v>
      </c>
      <c r="E162" s="31" t="str">
        <f>"14"</f>
        <v>14</v>
      </c>
      <c r="F162" s="32" t="s">
        <v>21</v>
      </c>
      <c r="G162" s="32">
        <v>84.5</v>
      </c>
      <c r="H162" s="33">
        <v>70.4166666666667</v>
      </c>
      <c r="I162" s="32">
        <v>96.5</v>
      </c>
      <c r="J162" s="33">
        <v>80.4166666666667</v>
      </c>
      <c r="K162" s="32"/>
      <c r="L162" s="33">
        <v>75.4166666666667</v>
      </c>
    </row>
    <row r="163" ht="14.25" customHeight="1" spans="1:12">
      <c r="A163" s="29">
        <v>13</v>
      </c>
      <c r="B163" s="30" t="str">
        <f t="shared" si="13"/>
        <v>20240308</v>
      </c>
      <c r="C163" s="31" t="str">
        <f>"2420103001"</f>
        <v>2420103001</v>
      </c>
      <c r="D163" s="31" t="str">
        <f>"030"</f>
        <v>030</v>
      </c>
      <c r="E163" s="31" t="str">
        <f>"01"</f>
        <v>01</v>
      </c>
      <c r="F163" s="32" t="s">
        <v>21</v>
      </c>
      <c r="G163" s="32">
        <v>85.5</v>
      </c>
      <c r="H163" s="33">
        <v>71.25</v>
      </c>
      <c r="I163" s="32">
        <v>95.1</v>
      </c>
      <c r="J163" s="33">
        <v>79.25</v>
      </c>
      <c r="K163" s="32"/>
      <c r="L163" s="33">
        <v>75.25</v>
      </c>
    </row>
    <row r="164" ht="14.25" customHeight="1" spans="1:12">
      <c r="A164" s="29">
        <v>14</v>
      </c>
      <c r="B164" s="30" t="str">
        <f t="shared" si="13"/>
        <v>20240308</v>
      </c>
      <c r="C164" s="31" t="str">
        <f>"2420104103"</f>
        <v>2420104103</v>
      </c>
      <c r="D164" s="31" t="str">
        <f>"041"</f>
        <v>041</v>
      </c>
      <c r="E164" s="31" t="str">
        <f>"03"</f>
        <v>03</v>
      </c>
      <c r="F164" s="32" t="s">
        <v>21</v>
      </c>
      <c r="G164" s="32">
        <v>85</v>
      </c>
      <c r="H164" s="33">
        <v>70.8333333333333</v>
      </c>
      <c r="I164" s="32">
        <v>95.6</v>
      </c>
      <c r="J164" s="33">
        <v>79.6666666666667</v>
      </c>
      <c r="K164" s="32"/>
      <c r="L164" s="33">
        <v>75.25</v>
      </c>
    </row>
    <row r="165" ht="14.25" customHeight="1" spans="1:12">
      <c r="A165" s="29">
        <v>15</v>
      </c>
      <c r="B165" s="30" t="str">
        <f t="shared" si="13"/>
        <v>20240308</v>
      </c>
      <c r="C165" s="31" t="str">
        <f>"2420104227"</f>
        <v>2420104227</v>
      </c>
      <c r="D165" s="31" t="str">
        <f>"042"</f>
        <v>042</v>
      </c>
      <c r="E165" s="31" t="str">
        <f>"27"</f>
        <v>27</v>
      </c>
      <c r="F165" s="32" t="s">
        <v>21</v>
      </c>
      <c r="G165" s="32">
        <v>91.5</v>
      </c>
      <c r="H165" s="33">
        <v>76.25</v>
      </c>
      <c r="I165" s="32">
        <v>88.9</v>
      </c>
      <c r="J165" s="33">
        <v>74.0833333333333</v>
      </c>
      <c r="K165" s="32"/>
      <c r="L165" s="33">
        <v>75.1666666666667</v>
      </c>
    </row>
    <row r="166" ht="14.25" customHeight="1" spans="1:12">
      <c r="A166" s="29">
        <v>16</v>
      </c>
      <c r="B166" s="30" t="str">
        <f t="shared" si="13"/>
        <v>20240308</v>
      </c>
      <c r="C166" s="31" t="str">
        <f>"2420103712"</f>
        <v>2420103712</v>
      </c>
      <c r="D166" s="31" t="str">
        <f>"037"</f>
        <v>037</v>
      </c>
      <c r="E166" s="31" t="str">
        <f>"12"</f>
        <v>12</v>
      </c>
      <c r="F166" s="32" t="s">
        <v>21</v>
      </c>
      <c r="G166" s="32">
        <v>90.5</v>
      </c>
      <c r="H166" s="33">
        <v>75.4166666666667</v>
      </c>
      <c r="I166" s="32">
        <v>89.3</v>
      </c>
      <c r="J166" s="33">
        <v>74.4166666666667</v>
      </c>
      <c r="K166" s="32"/>
      <c r="L166" s="33">
        <v>74.9166666666667</v>
      </c>
    </row>
    <row r="167" ht="14.25" customHeight="1" spans="1:12">
      <c r="A167" s="29">
        <v>17</v>
      </c>
      <c r="B167" s="30" t="str">
        <f t="shared" si="13"/>
        <v>20240308</v>
      </c>
      <c r="C167" s="31" t="str">
        <f>"2420103107"</f>
        <v>2420103107</v>
      </c>
      <c r="D167" s="31" t="str">
        <f>"031"</f>
        <v>031</v>
      </c>
      <c r="E167" s="31" t="str">
        <f>"07"</f>
        <v>07</v>
      </c>
      <c r="F167" s="32" t="s">
        <v>21</v>
      </c>
      <c r="G167" s="32">
        <v>78</v>
      </c>
      <c r="H167" s="33">
        <v>65</v>
      </c>
      <c r="I167" s="32">
        <v>101.6</v>
      </c>
      <c r="J167" s="33">
        <v>84.6666666666667</v>
      </c>
      <c r="K167" s="32"/>
      <c r="L167" s="33">
        <v>74.8333333333333</v>
      </c>
    </row>
    <row r="168" ht="14.25" customHeight="1" spans="1:12">
      <c r="A168" s="29">
        <v>18</v>
      </c>
      <c r="B168" s="30" t="str">
        <f t="shared" si="13"/>
        <v>20240308</v>
      </c>
      <c r="C168" s="31" t="str">
        <f>"2420104212"</f>
        <v>2420104212</v>
      </c>
      <c r="D168" s="31" t="str">
        <f>"042"</f>
        <v>042</v>
      </c>
      <c r="E168" s="31" t="str">
        <f>"12"</f>
        <v>12</v>
      </c>
      <c r="F168" s="32" t="s">
        <v>21</v>
      </c>
      <c r="G168" s="32">
        <v>98</v>
      </c>
      <c r="H168" s="33">
        <v>81.6666666666667</v>
      </c>
      <c r="I168" s="32">
        <v>80.3</v>
      </c>
      <c r="J168" s="33">
        <v>66.9166666666667</v>
      </c>
      <c r="K168" s="32"/>
      <c r="L168" s="33">
        <v>74.2916666666667</v>
      </c>
    </row>
    <row r="169" ht="14.25" customHeight="1" spans="1:12">
      <c r="A169" s="29">
        <v>19</v>
      </c>
      <c r="B169" s="30" t="str">
        <f t="shared" si="13"/>
        <v>20240308</v>
      </c>
      <c r="C169" s="31" t="str">
        <f>"2420103002"</f>
        <v>2420103002</v>
      </c>
      <c r="D169" s="31" t="str">
        <f>"030"</f>
        <v>030</v>
      </c>
      <c r="E169" s="31" t="str">
        <f>"02"</f>
        <v>02</v>
      </c>
      <c r="F169" s="32" t="s">
        <v>21</v>
      </c>
      <c r="G169" s="32">
        <v>79.5</v>
      </c>
      <c r="H169" s="33">
        <v>66.25</v>
      </c>
      <c r="I169" s="32">
        <v>98.6</v>
      </c>
      <c r="J169" s="33">
        <v>82.1666666666667</v>
      </c>
      <c r="K169" s="32"/>
      <c r="L169" s="33">
        <v>74.2083333333333</v>
      </c>
    </row>
    <row r="170" ht="14.25" customHeight="1" spans="1:12">
      <c r="A170" s="29">
        <v>20</v>
      </c>
      <c r="B170" s="30" t="str">
        <f t="shared" si="13"/>
        <v>20240308</v>
      </c>
      <c r="C170" s="31" t="str">
        <f>"2420104006"</f>
        <v>2420104006</v>
      </c>
      <c r="D170" s="31" t="str">
        <f>"040"</f>
        <v>040</v>
      </c>
      <c r="E170" s="31" t="str">
        <f>"06"</f>
        <v>06</v>
      </c>
      <c r="F170" s="32" t="s">
        <v>21</v>
      </c>
      <c r="G170" s="32">
        <v>87</v>
      </c>
      <c r="H170" s="33">
        <v>72.5</v>
      </c>
      <c r="I170" s="32">
        <v>91</v>
      </c>
      <c r="J170" s="33">
        <v>75.8333333333333</v>
      </c>
      <c r="K170" s="32"/>
      <c r="L170" s="33">
        <v>74.1666666666667</v>
      </c>
    </row>
    <row r="171" ht="14.25" customHeight="1" spans="1:12">
      <c r="A171" s="29">
        <v>21</v>
      </c>
      <c r="B171" s="30" t="str">
        <f t="shared" si="13"/>
        <v>20240308</v>
      </c>
      <c r="C171" s="31" t="str">
        <f>"2420104129"</f>
        <v>2420104129</v>
      </c>
      <c r="D171" s="31" t="str">
        <f>"041"</f>
        <v>041</v>
      </c>
      <c r="E171" s="31" t="str">
        <f>"29"</f>
        <v>29</v>
      </c>
      <c r="F171" s="32" t="s">
        <v>21</v>
      </c>
      <c r="G171" s="32">
        <v>87.5</v>
      </c>
      <c r="H171" s="33">
        <v>72.9166666666667</v>
      </c>
      <c r="I171" s="32">
        <v>89.4</v>
      </c>
      <c r="J171" s="33">
        <v>74.5</v>
      </c>
      <c r="K171" s="32"/>
      <c r="L171" s="33">
        <v>73.7083333333333</v>
      </c>
    </row>
    <row r="172" ht="14.25" customHeight="1" spans="1:12">
      <c r="A172" s="29">
        <v>22</v>
      </c>
      <c r="B172" s="30" t="str">
        <f t="shared" si="13"/>
        <v>20240308</v>
      </c>
      <c r="C172" s="31" t="str">
        <f>"2420103805"</f>
        <v>2420103805</v>
      </c>
      <c r="D172" s="31" t="str">
        <f>"038"</f>
        <v>038</v>
      </c>
      <c r="E172" s="31" t="str">
        <f>"05"</f>
        <v>05</v>
      </c>
      <c r="F172" s="32" t="s">
        <v>21</v>
      </c>
      <c r="G172" s="32">
        <v>84.5</v>
      </c>
      <c r="H172" s="33">
        <v>70.4166666666667</v>
      </c>
      <c r="I172" s="32">
        <v>91.5</v>
      </c>
      <c r="J172" s="33">
        <v>76.25</v>
      </c>
      <c r="K172" s="32"/>
      <c r="L172" s="33">
        <v>73.3333333333333</v>
      </c>
    </row>
    <row r="173" ht="14.25" customHeight="1" spans="1:12">
      <c r="A173" s="29">
        <v>23</v>
      </c>
      <c r="B173" s="30" t="str">
        <f t="shared" si="13"/>
        <v>20240308</v>
      </c>
      <c r="C173" s="31" t="str">
        <f>"2420103928"</f>
        <v>2420103928</v>
      </c>
      <c r="D173" s="31" t="str">
        <f>"039"</f>
        <v>039</v>
      </c>
      <c r="E173" s="31" t="str">
        <f>"28"</f>
        <v>28</v>
      </c>
      <c r="F173" s="32" t="s">
        <v>21</v>
      </c>
      <c r="G173" s="32">
        <v>92.5</v>
      </c>
      <c r="H173" s="33">
        <v>77.0833333333333</v>
      </c>
      <c r="I173" s="32">
        <v>82.6</v>
      </c>
      <c r="J173" s="33">
        <v>68.8333333333333</v>
      </c>
      <c r="K173" s="32"/>
      <c r="L173" s="33">
        <v>72.9583333333333</v>
      </c>
    </row>
    <row r="174" ht="14.25" customHeight="1" spans="1:12">
      <c r="A174" s="29">
        <v>24</v>
      </c>
      <c r="B174" s="30" t="str">
        <f t="shared" si="13"/>
        <v>20240308</v>
      </c>
      <c r="C174" s="31" t="str">
        <f>"2420103705"</f>
        <v>2420103705</v>
      </c>
      <c r="D174" s="31" t="str">
        <f>"037"</f>
        <v>037</v>
      </c>
      <c r="E174" s="31" t="str">
        <f>"05"</f>
        <v>05</v>
      </c>
      <c r="F174" s="32" t="s">
        <v>21</v>
      </c>
      <c r="G174" s="32">
        <v>87.5</v>
      </c>
      <c r="H174" s="33">
        <v>72.9166666666667</v>
      </c>
      <c r="I174" s="32">
        <v>86.9</v>
      </c>
      <c r="J174" s="33">
        <v>72.4166666666667</v>
      </c>
      <c r="K174" s="32"/>
      <c r="L174" s="33">
        <v>72.6666666666667</v>
      </c>
    </row>
    <row r="175" ht="14.25" customHeight="1" spans="1:12">
      <c r="A175" s="34">
        <v>1</v>
      </c>
      <c r="B175" s="35" t="str">
        <f t="shared" ref="B175:B204" si="14">"20240309"</f>
        <v>20240309</v>
      </c>
      <c r="C175" s="36" t="str">
        <f>"2420105701"</f>
        <v>2420105701</v>
      </c>
      <c r="D175" s="36" t="str">
        <f>"057"</f>
        <v>057</v>
      </c>
      <c r="E175" s="36" t="str">
        <f>"01"</f>
        <v>01</v>
      </c>
      <c r="F175" s="37" t="s">
        <v>22</v>
      </c>
      <c r="G175" s="37">
        <v>94.5</v>
      </c>
      <c r="H175" s="38">
        <v>78.75</v>
      </c>
      <c r="I175" s="37">
        <v>101.8</v>
      </c>
      <c r="J175" s="38">
        <v>84.8333333333333</v>
      </c>
      <c r="K175" s="37"/>
      <c r="L175" s="38">
        <v>81.7916666666667</v>
      </c>
    </row>
    <row r="176" ht="14.25" customHeight="1" spans="1:12">
      <c r="A176" s="34">
        <v>2</v>
      </c>
      <c r="B176" s="35" t="str">
        <f t="shared" si="14"/>
        <v>20240309</v>
      </c>
      <c r="C176" s="36" t="str">
        <f>"2420104330"</f>
        <v>2420104330</v>
      </c>
      <c r="D176" s="36" t="str">
        <f>"043"</f>
        <v>043</v>
      </c>
      <c r="E176" s="36" t="str">
        <f>"30"</f>
        <v>30</v>
      </c>
      <c r="F176" s="37" t="s">
        <v>22</v>
      </c>
      <c r="G176" s="37">
        <v>87.5</v>
      </c>
      <c r="H176" s="38">
        <v>72.9166666666667</v>
      </c>
      <c r="I176" s="37">
        <v>105.8</v>
      </c>
      <c r="J176" s="38">
        <v>88.1666666666667</v>
      </c>
      <c r="K176" s="37"/>
      <c r="L176" s="38">
        <v>80.5416666666667</v>
      </c>
    </row>
    <row r="177" ht="14.25" customHeight="1" spans="1:12">
      <c r="A177" s="34">
        <v>3</v>
      </c>
      <c r="B177" s="35" t="str">
        <f t="shared" si="14"/>
        <v>20240309</v>
      </c>
      <c r="C177" s="36" t="str">
        <f>"2420104702"</f>
        <v>2420104702</v>
      </c>
      <c r="D177" s="36" t="str">
        <f>"047"</f>
        <v>047</v>
      </c>
      <c r="E177" s="36" t="str">
        <f>"02"</f>
        <v>02</v>
      </c>
      <c r="F177" s="37" t="s">
        <v>22</v>
      </c>
      <c r="G177" s="37">
        <v>102.5</v>
      </c>
      <c r="H177" s="38">
        <v>85.4166666666667</v>
      </c>
      <c r="I177" s="37">
        <v>88.2</v>
      </c>
      <c r="J177" s="38">
        <v>73.5</v>
      </c>
      <c r="K177" s="37"/>
      <c r="L177" s="38">
        <v>79.4583333333333</v>
      </c>
    </row>
    <row r="178" ht="14.25" customHeight="1" spans="1:12">
      <c r="A178" s="34">
        <v>4</v>
      </c>
      <c r="B178" s="35" t="str">
        <f t="shared" si="14"/>
        <v>20240309</v>
      </c>
      <c r="C178" s="36" t="str">
        <f>"2420104420"</f>
        <v>2420104420</v>
      </c>
      <c r="D178" s="36" t="str">
        <f>"044"</f>
        <v>044</v>
      </c>
      <c r="E178" s="36" t="str">
        <f>"20"</f>
        <v>20</v>
      </c>
      <c r="F178" s="37" t="s">
        <v>22</v>
      </c>
      <c r="G178" s="37">
        <v>94</v>
      </c>
      <c r="H178" s="38">
        <v>78.3333333333333</v>
      </c>
      <c r="I178" s="37">
        <v>95.7</v>
      </c>
      <c r="J178" s="38">
        <v>79.75</v>
      </c>
      <c r="K178" s="37"/>
      <c r="L178" s="38">
        <v>79.0416666666667</v>
      </c>
    </row>
    <row r="179" ht="14.25" customHeight="1" spans="1:12">
      <c r="A179" s="34">
        <v>5</v>
      </c>
      <c r="B179" s="35" t="str">
        <f t="shared" si="14"/>
        <v>20240309</v>
      </c>
      <c r="C179" s="36" t="str">
        <f>"2420104827"</f>
        <v>2420104827</v>
      </c>
      <c r="D179" s="36" t="str">
        <f>"048"</f>
        <v>048</v>
      </c>
      <c r="E179" s="36" t="str">
        <f>"27"</f>
        <v>27</v>
      </c>
      <c r="F179" s="37" t="s">
        <v>22</v>
      </c>
      <c r="G179" s="37">
        <v>84</v>
      </c>
      <c r="H179" s="38">
        <v>70</v>
      </c>
      <c r="I179" s="37">
        <v>100.2</v>
      </c>
      <c r="J179" s="38">
        <v>83.5</v>
      </c>
      <c r="K179" s="37"/>
      <c r="L179" s="38">
        <v>76.75</v>
      </c>
    </row>
    <row r="180" ht="14.25" customHeight="1" spans="1:12">
      <c r="A180" s="34">
        <v>6</v>
      </c>
      <c r="B180" s="35" t="str">
        <f t="shared" si="14"/>
        <v>20240309</v>
      </c>
      <c r="C180" s="36" t="str">
        <f>"2420105326"</f>
        <v>2420105326</v>
      </c>
      <c r="D180" s="36" t="str">
        <f>"053"</f>
        <v>053</v>
      </c>
      <c r="E180" s="36" t="str">
        <f>"26"</f>
        <v>26</v>
      </c>
      <c r="F180" s="37" t="s">
        <v>22</v>
      </c>
      <c r="G180" s="37">
        <v>77.5</v>
      </c>
      <c r="H180" s="38">
        <v>64.5833333333333</v>
      </c>
      <c r="I180" s="37">
        <v>106.5</v>
      </c>
      <c r="J180" s="38">
        <v>88.75</v>
      </c>
      <c r="K180" s="37"/>
      <c r="L180" s="38">
        <v>76.6666666666667</v>
      </c>
    </row>
    <row r="181" ht="14.25" customHeight="1" spans="1:12">
      <c r="A181" s="34">
        <v>7</v>
      </c>
      <c r="B181" s="35" t="str">
        <f t="shared" si="14"/>
        <v>20240309</v>
      </c>
      <c r="C181" s="36" t="str">
        <f>"2420104402"</f>
        <v>2420104402</v>
      </c>
      <c r="D181" s="36" t="str">
        <f>"044"</f>
        <v>044</v>
      </c>
      <c r="E181" s="36" t="str">
        <f>"02"</f>
        <v>02</v>
      </c>
      <c r="F181" s="37" t="s">
        <v>22</v>
      </c>
      <c r="G181" s="37">
        <v>88</v>
      </c>
      <c r="H181" s="38">
        <v>73.3333333333333</v>
      </c>
      <c r="I181" s="37">
        <v>95.7</v>
      </c>
      <c r="J181" s="38">
        <v>79.75</v>
      </c>
      <c r="K181" s="37"/>
      <c r="L181" s="38">
        <v>76.5416666666667</v>
      </c>
    </row>
    <row r="182" ht="14.25" customHeight="1" spans="1:12">
      <c r="A182" s="34">
        <v>8</v>
      </c>
      <c r="B182" s="35" t="str">
        <f t="shared" si="14"/>
        <v>20240309</v>
      </c>
      <c r="C182" s="36" t="str">
        <f>"2420104724"</f>
        <v>2420104724</v>
      </c>
      <c r="D182" s="36" t="str">
        <f>"047"</f>
        <v>047</v>
      </c>
      <c r="E182" s="36" t="str">
        <f>"24"</f>
        <v>24</v>
      </c>
      <c r="F182" s="37" t="s">
        <v>22</v>
      </c>
      <c r="G182" s="37">
        <v>89</v>
      </c>
      <c r="H182" s="38">
        <v>74.1666666666667</v>
      </c>
      <c r="I182" s="37">
        <v>94.2</v>
      </c>
      <c r="J182" s="38">
        <v>78.5</v>
      </c>
      <c r="K182" s="37"/>
      <c r="L182" s="38">
        <v>76.3333333333333</v>
      </c>
    </row>
    <row r="183" ht="14.25" customHeight="1" spans="1:12">
      <c r="A183" s="34">
        <v>9</v>
      </c>
      <c r="B183" s="35" t="str">
        <f t="shared" si="14"/>
        <v>20240309</v>
      </c>
      <c r="C183" s="36" t="str">
        <f>"2420105411"</f>
        <v>2420105411</v>
      </c>
      <c r="D183" s="36" t="str">
        <f>"054"</f>
        <v>054</v>
      </c>
      <c r="E183" s="36" t="str">
        <f>"11"</f>
        <v>11</v>
      </c>
      <c r="F183" s="37" t="s">
        <v>22</v>
      </c>
      <c r="G183" s="37">
        <v>83</v>
      </c>
      <c r="H183" s="38">
        <v>69.1666666666667</v>
      </c>
      <c r="I183" s="37">
        <v>99.9</v>
      </c>
      <c r="J183" s="38">
        <v>83.25</v>
      </c>
      <c r="K183" s="37"/>
      <c r="L183" s="38">
        <v>76.2083333333333</v>
      </c>
    </row>
    <row r="184" ht="14.25" customHeight="1" spans="1:12">
      <c r="A184" s="34">
        <v>10</v>
      </c>
      <c r="B184" s="35" t="str">
        <f t="shared" si="14"/>
        <v>20240309</v>
      </c>
      <c r="C184" s="36" t="str">
        <f>"2420105730"</f>
        <v>2420105730</v>
      </c>
      <c r="D184" s="36" t="str">
        <f>"057"</f>
        <v>057</v>
      </c>
      <c r="E184" s="36" t="str">
        <f>"30"</f>
        <v>30</v>
      </c>
      <c r="F184" s="37" t="s">
        <v>22</v>
      </c>
      <c r="G184" s="37">
        <v>82</v>
      </c>
      <c r="H184" s="38">
        <v>68.3333333333333</v>
      </c>
      <c r="I184" s="37">
        <v>100.3</v>
      </c>
      <c r="J184" s="38">
        <v>83.5833333333333</v>
      </c>
      <c r="K184" s="37"/>
      <c r="L184" s="38">
        <v>75.9583333333333</v>
      </c>
    </row>
    <row r="185" ht="14.25" customHeight="1" spans="1:12">
      <c r="A185" s="34">
        <v>11</v>
      </c>
      <c r="B185" s="35" t="str">
        <f t="shared" si="14"/>
        <v>20240309</v>
      </c>
      <c r="C185" s="36" t="str">
        <f>"2420104902"</f>
        <v>2420104902</v>
      </c>
      <c r="D185" s="36" t="str">
        <f>"049"</f>
        <v>049</v>
      </c>
      <c r="E185" s="36" t="str">
        <f>"02"</f>
        <v>02</v>
      </c>
      <c r="F185" s="37" t="s">
        <v>22</v>
      </c>
      <c r="G185" s="37">
        <v>86</v>
      </c>
      <c r="H185" s="38">
        <v>71.6666666666667</v>
      </c>
      <c r="I185" s="37">
        <v>95.8</v>
      </c>
      <c r="J185" s="38">
        <v>79.8333333333333</v>
      </c>
      <c r="K185" s="37"/>
      <c r="L185" s="38">
        <v>75.75</v>
      </c>
    </row>
    <row r="186" ht="14.25" customHeight="1" spans="1:12">
      <c r="A186" s="34">
        <v>12</v>
      </c>
      <c r="B186" s="35" t="str">
        <f t="shared" si="14"/>
        <v>20240309</v>
      </c>
      <c r="C186" s="36" t="str">
        <f>"2420106005"</f>
        <v>2420106005</v>
      </c>
      <c r="D186" s="36" t="str">
        <f>"060"</f>
        <v>060</v>
      </c>
      <c r="E186" s="36" t="str">
        <f t="shared" ref="E186:E190" si="15">"05"</f>
        <v>05</v>
      </c>
      <c r="F186" s="37" t="s">
        <v>22</v>
      </c>
      <c r="G186" s="37">
        <v>88.5</v>
      </c>
      <c r="H186" s="38">
        <v>73.75</v>
      </c>
      <c r="I186" s="37">
        <v>91.6</v>
      </c>
      <c r="J186" s="38">
        <v>76.3333333333333</v>
      </c>
      <c r="K186" s="37"/>
      <c r="L186" s="38">
        <v>75.0416666666667</v>
      </c>
    </row>
    <row r="187" ht="14.25" customHeight="1" spans="1:12">
      <c r="A187" s="34">
        <v>13</v>
      </c>
      <c r="B187" s="35" t="str">
        <f t="shared" si="14"/>
        <v>20240309</v>
      </c>
      <c r="C187" s="36" t="str">
        <f>"2420105426"</f>
        <v>2420105426</v>
      </c>
      <c r="D187" s="36" t="str">
        <f>"054"</f>
        <v>054</v>
      </c>
      <c r="E187" s="36" t="str">
        <f>"26"</f>
        <v>26</v>
      </c>
      <c r="F187" s="37" t="s">
        <v>22</v>
      </c>
      <c r="G187" s="37">
        <v>92.5</v>
      </c>
      <c r="H187" s="38">
        <v>77.0833333333333</v>
      </c>
      <c r="I187" s="37">
        <v>87.1</v>
      </c>
      <c r="J187" s="38">
        <v>72.5833333333333</v>
      </c>
      <c r="K187" s="37"/>
      <c r="L187" s="38">
        <v>74.8333333333333</v>
      </c>
    </row>
    <row r="188" ht="14.25" customHeight="1" spans="1:12">
      <c r="A188" s="34">
        <v>14</v>
      </c>
      <c r="B188" s="35" t="str">
        <f t="shared" si="14"/>
        <v>20240309</v>
      </c>
      <c r="C188" s="36" t="str">
        <f>"2420104913"</f>
        <v>2420104913</v>
      </c>
      <c r="D188" s="36" t="str">
        <f>"049"</f>
        <v>049</v>
      </c>
      <c r="E188" s="36" t="str">
        <f>"13"</f>
        <v>13</v>
      </c>
      <c r="F188" s="37" t="s">
        <v>22</v>
      </c>
      <c r="G188" s="37">
        <v>99</v>
      </c>
      <c r="H188" s="38">
        <v>82.5</v>
      </c>
      <c r="I188" s="37">
        <v>80.4</v>
      </c>
      <c r="J188" s="38">
        <v>67</v>
      </c>
      <c r="K188" s="37"/>
      <c r="L188" s="38">
        <v>74.75</v>
      </c>
    </row>
    <row r="189" ht="14.25" customHeight="1" spans="1:12">
      <c r="A189" s="34">
        <v>15</v>
      </c>
      <c r="B189" s="35" t="str">
        <f t="shared" si="14"/>
        <v>20240309</v>
      </c>
      <c r="C189" s="36" t="str">
        <f>"2420105805"</f>
        <v>2420105805</v>
      </c>
      <c r="D189" s="36" t="str">
        <f>"058"</f>
        <v>058</v>
      </c>
      <c r="E189" s="36" t="str">
        <f t="shared" si="15"/>
        <v>05</v>
      </c>
      <c r="F189" s="37" t="s">
        <v>22</v>
      </c>
      <c r="G189" s="37">
        <v>92</v>
      </c>
      <c r="H189" s="38">
        <v>76.6666666666667</v>
      </c>
      <c r="I189" s="37">
        <v>87.2</v>
      </c>
      <c r="J189" s="38">
        <v>72.6666666666667</v>
      </c>
      <c r="K189" s="37"/>
      <c r="L189" s="38">
        <v>74.6666666666667</v>
      </c>
    </row>
    <row r="190" ht="14.25" customHeight="1" spans="1:12">
      <c r="A190" s="34">
        <v>16</v>
      </c>
      <c r="B190" s="35" t="str">
        <f t="shared" si="14"/>
        <v>20240309</v>
      </c>
      <c r="C190" s="36" t="str">
        <f>"2420105205"</f>
        <v>2420105205</v>
      </c>
      <c r="D190" s="36" t="str">
        <f>"052"</f>
        <v>052</v>
      </c>
      <c r="E190" s="36" t="str">
        <f t="shared" si="15"/>
        <v>05</v>
      </c>
      <c r="F190" s="37" t="s">
        <v>22</v>
      </c>
      <c r="G190" s="37">
        <v>88</v>
      </c>
      <c r="H190" s="38">
        <v>73.3333333333333</v>
      </c>
      <c r="I190" s="37">
        <v>90.9</v>
      </c>
      <c r="J190" s="38">
        <v>75.75</v>
      </c>
      <c r="K190" s="37"/>
      <c r="L190" s="38">
        <v>74.5416666666667</v>
      </c>
    </row>
    <row r="191" ht="14.25" customHeight="1" spans="1:12">
      <c r="A191" s="34">
        <v>17</v>
      </c>
      <c r="B191" s="35" t="str">
        <f t="shared" si="14"/>
        <v>20240309</v>
      </c>
      <c r="C191" s="36" t="str">
        <f>"2420104511"</f>
        <v>2420104511</v>
      </c>
      <c r="D191" s="36" t="str">
        <f>"045"</f>
        <v>045</v>
      </c>
      <c r="E191" s="36" t="str">
        <f>"11"</f>
        <v>11</v>
      </c>
      <c r="F191" s="37" t="s">
        <v>22</v>
      </c>
      <c r="G191" s="37">
        <v>92.5</v>
      </c>
      <c r="H191" s="38">
        <v>77.0833333333333</v>
      </c>
      <c r="I191" s="37">
        <v>86.2</v>
      </c>
      <c r="J191" s="38">
        <v>71.8333333333333</v>
      </c>
      <c r="K191" s="37"/>
      <c r="L191" s="38">
        <v>74.4583333333333</v>
      </c>
    </row>
    <row r="192" ht="14.25" customHeight="1" spans="1:12">
      <c r="A192" s="34">
        <v>18</v>
      </c>
      <c r="B192" s="35" t="str">
        <f t="shared" si="14"/>
        <v>20240309</v>
      </c>
      <c r="C192" s="36" t="str">
        <f>"2420105714"</f>
        <v>2420105714</v>
      </c>
      <c r="D192" s="36" t="str">
        <f>"057"</f>
        <v>057</v>
      </c>
      <c r="E192" s="36" t="str">
        <f t="shared" ref="E192:E195" si="16">"14"</f>
        <v>14</v>
      </c>
      <c r="F192" s="37" t="s">
        <v>22</v>
      </c>
      <c r="G192" s="37">
        <v>76.5</v>
      </c>
      <c r="H192" s="38">
        <v>63.75</v>
      </c>
      <c r="I192" s="37">
        <v>96.6</v>
      </c>
      <c r="J192" s="38">
        <v>80.5</v>
      </c>
      <c r="K192" s="37">
        <v>4</v>
      </c>
      <c r="L192" s="38">
        <v>74.125</v>
      </c>
    </row>
    <row r="193" ht="14.25" customHeight="1" spans="1:12">
      <c r="A193" s="34">
        <v>19</v>
      </c>
      <c r="B193" s="35" t="str">
        <f t="shared" si="14"/>
        <v>20240309</v>
      </c>
      <c r="C193" s="36" t="str">
        <f>"2420105214"</f>
        <v>2420105214</v>
      </c>
      <c r="D193" s="36" t="str">
        <f>"052"</f>
        <v>052</v>
      </c>
      <c r="E193" s="36" t="str">
        <f t="shared" si="16"/>
        <v>14</v>
      </c>
      <c r="F193" s="37" t="s">
        <v>22</v>
      </c>
      <c r="G193" s="37">
        <v>91</v>
      </c>
      <c r="H193" s="38">
        <v>75.8333333333333</v>
      </c>
      <c r="I193" s="37">
        <v>86.4</v>
      </c>
      <c r="J193" s="38">
        <v>72</v>
      </c>
      <c r="K193" s="37"/>
      <c r="L193" s="38">
        <v>73.9166666666667</v>
      </c>
    </row>
    <row r="194" ht="14.25" customHeight="1" spans="1:12">
      <c r="A194" s="34">
        <v>20</v>
      </c>
      <c r="B194" s="35" t="str">
        <f t="shared" si="14"/>
        <v>20240309</v>
      </c>
      <c r="C194" s="36" t="str">
        <f>"2420105609"</f>
        <v>2420105609</v>
      </c>
      <c r="D194" s="36" t="str">
        <f>"056"</f>
        <v>056</v>
      </c>
      <c r="E194" s="36" t="str">
        <f>"09"</f>
        <v>09</v>
      </c>
      <c r="F194" s="37" t="s">
        <v>22</v>
      </c>
      <c r="G194" s="37">
        <v>80.5</v>
      </c>
      <c r="H194" s="38">
        <v>67.0833333333333</v>
      </c>
      <c r="I194" s="37">
        <v>96.6</v>
      </c>
      <c r="J194" s="38">
        <v>80.5</v>
      </c>
      <c r="K194" s="37"/>
      <c r="L194" s="38">
        <v>73.7916666666667</v>
      </c>
    </row>
    <row r="195" ht="14.25" customHeight="1" spans="1:12">
      <c r="A195" s="34">
        <v>21</v>
      </c>
      <c r="B195" s="35" t="str">
        <f t="shared" si="14"/>
        <v>20240309</v>
      </c>
      <c r="C195" s="36" t="str">
        <f>"2420104814"</f>
        <v>2420104814</v>
      </c>
      <c r="D195" s="36" t="str">
        <f>"048"</f>
        <v>048</v>
      </c>
      <c r="E195" s="36" t="str">
        <f t="shared" si="16"/>
        <v>14</v>
      </c>
      <c r="F195" s="37" t="s">
        <v>22</v>
      </c>
      <c r="G195" s="37">
        <v>95.5</v>
      </c>
      <c r="H195" s="38">
        <v>79.5833333333333</v>
      </c>
      <c r="I195" s="37">
        <v>81.4</v>
      </c>
      <c r="J195" s="38">
        <v>67.8333333333333</v>
      </c>
      <c r="K195" s="37"/>
      <c r="L195" s="38">
        <v>73.7083333333333</v>
      </c>
    </row>
    <row r="196" ht="14.25" customHeight="1" spans="1:12">
      <c r="A196" s="34">
        <v>22</v>
      </c>
      <c r="B196" s="35" t="str">
        <f t="shared" si="14"/>
        <v>20240309</v>
      </c>
      <c r="C196" s="36" t="str">
        <f>"2420105123"</f>
        <v>2420105123</v>
      </c>
      <c r="D196" s="36" t="str">
        <f>"051"</f>
        <v>051</v>
      </c>
      <c r="E196" s="36" t="str">
        <f>"23"</f>
        <v>23</v>
      </c>
      <c r="F196" s="37" t="s">
        <v>22</v>
      </c>
      <c r="G196" s="37">
        <v>80</v>
      </c>
      <c r="H196" s="38">
        <v>66.6666666666667</v>
      </c>
      <c r="I196" s="37">
        <v>96.4</v>
      </c>
      <c r="J196" s="38">
        <v>80.3333333333333</v>
      </c>
      <c r="K196" s="37"/>
      <c r="L196" s="38">
        <v>73.5</v>
      </c>
    </row>
    <row r="197" ht="14.25" customHeight="1" spans="1:12">
      <c r="A197" s="34">
        <v>23</v>
      </c>
      <c r="B197" s="35" t="str">
        <f t="shared" si="14"/>
        <v>20240309</v>
      </c>
      <c r="C197" s="36" t="str">
        <f>"2420104926"</f>
        <v>2420104926</v>
      </c>
      <c r="D197" s="36" t="str">
        <f>"049"</f>
        <v>049</v>
      </c>
      <c r="E197" s="36" t="str">
        <f>"26"</f>
        <v>26</v>
      </c>
      <c r="F197" s="37" t="s">
        <v>22</v>
      </c>
      <c r="G197" s="37">
        <v>94.5</v>
      </c>
      <c r="H197" s="38">
        <v>78.75</v>
      </c>
      <c r="I197" s="37">
        <v>81.3</v>
      </c>
      <c r="J197" s="38">
        <v>67.75</v>
      </c>
      <c r="K197" s="37"/>
      <c r="L197" s="38">
        <v>73.25</v>
      </c>
    </row>
    <row r="198" ht="14.25" customHeight="1" spans="1:12">
      <c r="A198" s="34">
        <v>24</v>
      </c>
      <c r="B198" s="35" t="str">
        <f t="shared" si="14"/>
        <v>20240309</v>
      </c>
      <c r="C198" s="36" t="str">
        <f>"2420105711"</f>
        <v>2420105711</v>
      </c>
      <c r="D198" s="36" t="str">
        <f>"057"</f>
        <v>057</v>
      </c>
      <c r="E198" s="36" t="str">
        <f>"11"</f>
        <v>11</v>
      </c>
      <c r="F198" s="37" t="s">
        <v>22</v>
      </c>
      <c r="G198" s="37">
        <v>80.5</v>
      </c>
      <c r="H198" s="38">
        <v>67.0833333333333</v>
      </c>
      <c r="I198" s="37">
        <v>94.6</v>
      </c>
      <c r="J198" s="38">
        <v>78.8333333333333</v>
      </c>
      <c r="K198" s="37"/>
      <c r="L198" s="38">
        <v>72.9583333333333</v>
      </c>
    </row>
    <row r="199" ht="14.25" customHeight="1" spans="1:12">
      <c r="A199" s="34">
        <v>25</v>
      </c>
      <c r="B199" s="35" t="str">
        <f t="shared" si="14"/>
        <v>20240309</v>
      </c>
      <c r="C199" s="36" t="str">
        <f>"2420104822"</f>
        <v>2420104822</v>
      </c>
      <c r="D199" s="36" t="str">
        <f>"048"</f>
        <v>048</v>
      </c>
      <c r="E199" s="36" t="str">
        <f>"22"</f>
        <v>22</v>
      </c>
      <c r="F199" s="37" t="s">
        <v>22</v>
      </c>
      <c r="G199" s="37">
        <v>85.5</v>
      </c>
      <c r="H199" s="38">
        <v>71.25</v>
      </c>
      <c r="I199" s="37">
        <v>88.9</v>
      </c>
      <c r="J199" s="38">
        <v>74.0833333333333</v>
      </c>
      <c r="K199" s="37"/>
      <c r="L199" s="38">
        <v>72.6666666666667</v>
      </c>
    </row>
    <row r="200" ht="14.25" customHeight="1" spans="1:12">
      <c r="A200" s="34">
        <v>26</v>
      </c>
      <c r="B200" s="35" t="str">
        <f t="shared" si="14"/>
        <v>20240309</v>
      </c>
      <c r="C200" s="36" t="str">
        <f>"2420105015"</f>
        <v>2420105015</v>
      </c>
      <c r="D200" s="36" t="str">
        <f>"050"</f>
        <v>050</v>
      </c>
      <c r="E200" s="36" t="str">
        <f>"15"</f>
        <v>15</v>
      </c>
      <c r="F200" s="37" t="s">
        <v>22</v>
      </c>
      <c r="G200" s="37">
        <v>77</v>
      </c>
      <c r="H200" s="38">
        <v>64.1666666666667</v>
      </c>
      <c r="I200" s="37">
        <v>97.3</v>
      </c>
      <c r="J200" s="38">
        <v>81.0833333333333</v>
      </c>
      <c r="K200" s="37"/>
      <c r="L200" s="38">
        <v>72.625</v>
      </c>
    </row>
    <row r="201" ht="14.25" customHeight="1" spans="1:12">
      <c r="A201" s="34">
        <v>27</v>
      </c>
      <c r="B201" s="35" t="str">
        <f t="shared" si="14"/>
        <v>20240309</v>
      </c>
      <c r="C201" s="36" t="str">
        <f>"2420104522"</f>
        <v>2420104522</v>
      </c>
      <c r="D201" s="36" t="str">
        <f>"045"</f>
        <v>045</v>
      </c>
      <c r="E201" s="36" t="str">
        <f>"22"</f>
        <v>22</v>
      </c>
      <c r="F201" s="37" t="s">
        <v>22</v>
      </c>
      <c r="G201" s="37">
        <v>93</v>
      </c>
      <c r="H201" s="38">
        <v>77.5</v>
      </c>
      <c r="I201" s="37">
        <v>81.1</v>
      </c>
      <c r="J201" s="38">
        <v>67.5833333333333</v>
      </c>
      <c r="K201" s="37"/>
      <c r="L201" s="38">
        <v>72.5416666666667</v>
      </c>
    </row>
    <row r="202" ht="14.25" customHeight="1" spans="1:12">
      <c r="A202" s="34">
        <v>28</v>
      </c>
      <c r="B202" s="35" t="str">
        <f t="shared" si="14"/>
        <v>20240309</v>
      </c>
      <c r="C202" s="36" t="str">
        <f>"2420105528"</f>
        <v>2420105528</v>
      </c>
      <c r="D202" s="36" t="str">
        <f>"055"</f>
        <v>055</v>
      </c>
      <c r="E202" s="36" t="str">
        <f>"28"</f>
        <v>28</v>
      </c>
      <c r="F202" s="37" t="s">
        <v>22</v>
      </c>
      <c r="G202" s="37">
        <v>77</v>
      </c>
      <c r="H202" s="38">
        <v>64.1666666666667</v>
      </c>
      <c r="I202" s="37">
        <v>97.1</v>
      </c>
      <c r="J202" s="38">
        <v>80.9166666666667</v>
      </c>
      <c r="K202" s="37"/>
      <c r="L202" s="38">
        <v>72.5416666666667</v>
      </c>
    </row>
    <row r="203" ht="14.25" customHeight="1" spans="1:12">
      <c r="A203" s="34">
        <v>29</v>
      </c>
      <c r="B203" s="35" t="str">
        <f t="shared" si="14"/>
        <v>20240309</v>
      </c>
      <c r="C203" s="36" t="str">
        <f>"2420105027"</f>
        <v>2420105027</v>
      </c>
      <c r="D203" s="36" t="str">
        <f>"050"</f>
        <v>050</v>
      </c>
      <c r="E203" s="36" t="str">
        <f>"27"</f>
        <v>27</v>
      </c>
      <c r="F203" s="37" t="s">
        <v>22</v>
      </c>
      <c r="G203" s="37">
        <v>92.5</v>
      </c>
      <c r="H203" s="38">
        <v>77.0833333333333</v>
      </c>
      <c r="I203" s="37">
        <v>81.3</v>
      </c>
      <c r="J203" s="38">
        <v>67.75</v>
      </c>
      <c r="K203" s="37"/>
      <c r="L203" s="38">
        <v>72.4166666666667</v>
      </c>
    </row>
    <row r="204" ht="14.25" customHeight="1" spans="1:12">
      <c r="A204" s="34">
        <v>30</v>
      </c>
      <c r="B204" s="35" t="str">
        <f t="shared" si="14"/>
        <v>20240309</v>
      </c>
      <c r="C204" s="36" t="str">
        <f>"2420104315"</f>
        <v>2420104315</v>
      </c>
      <c r="D204" s="36" t="str">
        <f>"043"</f>
        <v>043</v>
      </c>
      <c r="E204" s="36" t="str">
        <f>"15"</f>
        <v>15</v>
      </c>
      <c r="F204" s="37" t="s">
        <v>22</v>
      </c>
      <c r="G204" s="37">
        <v>75</v>
      </c>
      <c r="H204" s="38">
        <v>62.5</v>
      </c>
      <c r="I204" s="37">
        <v>98.4</v>
      </c>
      <c r="J204" s="38">
        <v>82</v>
      </c>
      <c r="K204" s="37"/>
      <c r="L204" s="38">
        <v>72.25</v>
      </c>
    </row>
    <row r="205" ht="14.25" customHeight="1" spans="1:12">
      <c r="A205" s="9">
        <v>1</v>
      </c>
      <c r="B205" s="13" t="str">
        <f t="shared" ref="B205:B224" si="17">"20240310"</f>
        <v>20240310</v>
      </c>
      <c r="C205" s="10" t="str">
        <f>"2420106825"</f>
        <v>2420106825</v>
      </c>
      <c r="D205" s="10" t="str">
        <f>"068"</f>
        <v>068</v>
      </c>
      <c r="E205" s="10" t="str">
        <f>"25"</f>
        <v>25</v>
      </c>
      <c r="F205" s="11" t="s">
        <v>23</v>
      </c>
      <c r="G205" s="11">
        <v>97</v>
      </c>
      <c r="H205" s="12">
        <v>80.8333333333333</v>
      </c>
      <c r="I205" s="11">
        <v>111.5</v>
      </c>
      <c r="J205" s="12">
        <v>92.9166666666667</v>
      </c>
      <c r="K205" s="11"/>
      <c r="L205" s="12">
        <v>86.875</v>
      </c>
    </row>
    <row r="206" ht="14.25" customHeight="1" spans="1:12">
      <c r="A206" s="9">
        <v>2</v>
      </c>
      <c r="B206" s="13" t="str">
        <f t="shared" si="17"/>
        <v>20240310</v>
      </c>
      <c r="C206" s="10" t="str">
        <f>"2420106607"</f>
        <v>2420106607</v>
      </c>
      <c r="D206" s="10" t="str">
        <f>"066"</f>
        <v>066</v>
      </c>
      <c r="E206" s="10" t="str">
        <f>"07"</f>
        <v>07</v>
      </c>
      <c r="F206" s="11" t="s">
        <v>23</v>
      </c>
      <c r="G206" s="11">
        <v>93.5</v>
      </c>
      <c r="H206" s="12">
        <v>77.9166666666667</v>
      </c>
      <c r="I206" s="11">
        <v>114.5</v>
      </c>
      <c r="J206" s="12">
        <v>95.4166666666667</v>
      </c>
      <c r="K206" s="11"/>
      <c r="L206" s="12">
        <v>86.6666666666667</v>
      </c>
    </row>
    <row r="207" ht="14.25" customHeight="1" spans="1:12">
      <c r="A207" s="9">
        <v>3</v>
      </c>
      <c r="B207" s="13" t="str">
        <f t="shared" si="17"/>
        <v>20240310</v>
      </c>
      <c r="C207" s="10" t="str">
        <f>"2420107026"</f>
        <v>2420107026</v>
      </c>
      <c r="D207" s="10" t="str">
        <f>"070"</f>
        <v>070</v>
      </c>
      <c r="E207" s="10" t="str">
        <f>"26"</f>
        <v>26</v>
      </c>
      <c r="F207" s="11" t="s">
        <v>23</v>
      </c>
      <c r="G207" s="11">
        <v>93.5</v>
      </c>
      <c r="H207" s="12">
        <v>77.9166666666667</v>
      </c>
      <c r="I207" s="11">
        <v>114</v>
      </c>
      <c r="J207" s="12">
        <v>95</v>
      </c>
      <c r="K207" s="11"/>
      <c r="L207" s="12">
        <v>86.4583333333333</v>
      </c>
    </row>
    <row r="208" ht="14.25" customHeight="1" spans="1:12">
      <c r="A208" s="9">
        <v>4</v>
      </c>
      <c r="B208" s="13" t="str">
        <f t="shared" si="17"/>
        <v>20240310</v>
      </c>
      <c r="C208" s="10" t="str">
        <f>"2420106317"</f>
        <v>2420106317</v>
      </c>
      <c r="D208" s="10" t="str">
        <f>"063"</f>
        <v>063</v>
      </c>
      <c r="E208" s="10" t="str">
        <f>"17"</f>
        <v>17</v>
      </c>
      <c r="F208" s="11" t="s">
        <v>23</v>
      </c>
      <c r="G208" s="11">
        <v>97.5</v>
      </c>
      <c r="H208" s="12">
        <v>81.25</v>
      </c>
      <c r="I208" s="11">
        <v>109</v>
      </c>
      <c r="J208" s="12">
        <v>90.8333333333333</v>
      </c>
      <c r="K208" s="11"/>
      <c r="L208" s="12">
        <v>86.0416666666667</v>
      </c>
    </row>
    <row r="209" ht="14.25" customHeight="1" spans="1:12">
      <c r="A209" s="9">
        <v>5</v>
      </c>
      <c r="B209" s="13" t="str">
        <f t="shared" si="17"/>
        <v>20240310</v>
      </c>
      <c r="C209" s="10" t="str">
        <f>"2420106622"</f>
        <v>2420106622</v>
      </c>
      <c r="D209" s="10" t="str">
        <f>"066"</f>
        <v>066</v>
      </c>
      <c r="E209" s="10" t="str">
        <f>"22"</f>
        <v>22</v>
      </c>
      <c r="F209" s="11" t="s">
        <v>23</v>
      </c>
      <c r="G209" s="11">
        <v>100</v>
      </c>
      <c r="H209" s="12">
        <v>83.3333333333333</v>
      </c>
      <c r="I209" s="11">
        <v>106</v>
      </c>
      <c r="J209" s="12">
        <v>88.3333333333333</v>
      </c>
      <c r="K209" s="11"/>
      <c r="L209" s="12">
        <v>85.8333333333333</v>
      </c>
    </row>
    <row r="210" ht="14.25" customHeight="1" spans="1:12">
      <c r="A210" s="9">
        <v>6</v>
      </c>
      <c r="B210" s="13" t="str">
        <f t="shared" si="17"/>
        <v>20240310</v>
      </c>
      <c r="C210" s="10" t="str">
        <f>"2420106807"</f>
        <v>2420106807</v>
      </c>
      <c r="D210" s="10" t="str">
        <f>"068"</f>
        <v>068</v>
      </c>
      <c r="E210" s="10" t="str">
        <f>"07"</f>
        <v>07</v>
      </c>
      <c r="F210" s="11" t="s">
        <v>23</v>
      </c>
      <c r="G210" s="11">
        <v>95.5</v>
      </c>
      <c r="H210" s="12">
        <v>79.5833333333333</v>
      </c>
      <c r="I210" s="11">
        <v>110.5</v>
      </c>
      <c r="J210" s="12">
        <v>92.0833333333333</v>
      </c>
      <c r="K210" s="11"/>
      <c r="L210" s="12">
        <v>85.8333333333333</v>
      </c>
    </row>
    <row r="211" ht="14.25" customHeight="1" spans="1:12">
      <c r="A211" s="9">
        <v>7</v>
      </c>
      <c r="B211" s="13" t="str">
        <f t="shared" si="17"/>
        <v>20240310</v>
      </c>
      <c r="C211" s="10" t="str">
        <f>"2420107021"</f>
        <v>2420107021</v>
      </c>
      <c r="D211" s="10" t="str">
        <f>"070"</f>
        <v>070</v>
      </c>
      <c r="E211" s="10" t="str">
        <f>"21"</f>
        <v>21</v>
      </c>
      <c r="F211" s="11" t="s">
        <v>23</v>
      </c>
      <c r="G211" s="11">
        <v>97.5</v>
      </c>
      <c r="H211" s="12">
        <v>81.25</v>
      </c>
      <c r="I211" s="11">
        <v>107.5</v>
      </c>
      <c r="J211" s="12">
        <v>89.5833333333333</v>
      </c>
      <c r="K211" s="11"/>
      <c r="L211" s="12">
        <v>85.4166666666667</v>
      </c>
    </row>
    <row r="212" ht="14.25" customHeight="1" spans="1:12">
      <c r="A212" s="9">
        <v>8</v>
      </c>
      <c r="B212" s="13" t="str">
        <f t="shared" si="17"/>
        <v>20240310</v>
      </c>
      <c r="C212" s="10" t="str">
        <f>"2420106225"</f>
        <v>2420106225</v>
      </c>
      <c r="D212" s="10" t="str">
        <f>"062"</f>
        <v>062</v>
      </c>
      <c r="E212" s="10" t="str">
        <f>"25"</f>
        <v>25</v>
      </c>
      <c r="F212" s="11" t="s">
        <v>23</v>
      </c>
      <c r="G212" s="11">
        <v>94</v>
      </c>
      <c r="H212" s="12">
        <v>78.3333333333333</v>
      </c>
      <c r="I212" s="11">
        <v>110</v>
      </c>
      <c r="J212" s="12">
        <v>91.6666666666667</v>
      </c>
      <c r="K212" s="11"/>
      <c r="L212" s="12">
        <v>85</v>
      </c>
    </row>
    <row r="213" ht="14.25" customHeight="1" spans="1:12">
      <c r="A213" s="9">
        <v>9</v>
      </c>
      <c r="B213" s="13" t="str">
        <f t="shared" si="17"/>
        <v>20240310</v>
      </c>
      <c r="C213" s="10" t="str">
        <f>"2420106616"</f>
        <v>2420106616</v>
      </c>
      <c r="D213" s="10" t="str">
        <f>"066"</f>
        <v>066</v>
      </c>
      <c r="E213" s="10" t="str">
        <f>"16"</f>
        <v>16</v>
      </c>
      <c r="F213" s="11" t="s">
        <v>23</v>
      </c>
      <c r="G213" s="11">
        <v>98</v>
      </c>
      <c r="H213" s="12">
        <v>81.6666666666667</v>
      </c>
      <c r="I213" s="11">
        <v>106</v>
      </c>
      <c r="J213" s="12">
        <v>88.3333333333333</v>
      </c>
      <c r="K213" s="11"/>
      <c r="L213" s="12">
        <v>85</v>
      </c>
    </row>
    <row r="214" ht="14.25" customHeight="1" spans="1:12">
      <c r="A214" s="9">
        <v>10</v>
      </c>
      <c r="B214" s="13" t="str">
        <f t="shared" si="17"/>
        <v>20240310</v>
      </c>
      <c r="C214" s="10" t="str">
        <f>"2420106730"</f>
        <v>2420106730</v>
      </c>
      <c r="D214" s="10" t="str">
        <f>"067"</f>
        <v>067</v>
      </c>
      <c r="E214" s="10" t="str">
        <f>"30"</f>
        <v>30</v>
      </c>
      <c r="F214" s="11" t="s">
        <v>23</v>
      </c>
      <c r="G214" s="11">
        <v>89.5</v>
      </c>
      <c r="H214" s="12">
        <v>74.5833333333333</v>
      </c>
      <c r="I214" s="11">
        <v>114.5</v>
      </c>
      <c r="J214" s="12">
        <v>95.4166666666667</v>
      </c>
      <c r="K214" s="11"/>
      <c r="L214" s="12">
        <v>85</v>
      </c>
    </row>
    <row r="215" ht="14.25" customHeight="1" spans="1:12">
      <c r="A215" s="9">
        <v>11</v>
      </c>
      <c r="B215" s="13" t="str">
        <f t="shared" si="17"/>
        <v>20240310</v>
      </c>
      <c r="C215" s="10" t="str">
        <f>"2420107112"</f>
        <v>2420107112</v>
      </c>
      <c r="D215" s="10" t="str">
        <f t="shared" ref="D215:D218" si="18">"071"</f>
        <v>071</v>
      </c>
      <c r="E215" s="10" t="str">
        <f>"12"</f>
        <v>12</v>
      </c>
      <c r="F215" s="11" t="s">
        <v>23</v>
      </c>
      <c r="G215" s="11">
        <v>98.5</v>
      </c>
      <c r="H215" s="12">
        <v>82.0833333333333</v>
      </c>
      <c r="I215" s="11">
        <v>105.5</v>
      </c>
      <c r="J215" s="12">
        <v>87.9166666666667</v>
      </c>
      <c r="K215" s="11"/>
      <c r="L215" s="12">
        <v>85</v>
      </c>
    </row>
    <row r="216" ht="14.25" customHeight="1" spans="1:12">
      <c r="A216" s="9">
        <v>12</v>
      </c>
      <c r="B216" s="13" t="str">
        <f t="shared" si="17"/>
        <v>20240310</v>
      </c>
      <c r="C216" s="10" t="str">
        <f>"2420107120"</f>
        <v>2420107120</v>
      </c>
      <c r="D216" s="10" t="str">
        <f t="shared" si="18"/>
        <v>071</v>
      </c>
      <c r="E216" s="10" t="str">
        <f>"20"</f>
        <v>20</v>
      </c>
      <c r="F216" s="11" t="s">
        <v>23</v>
      </c>
      <c r="G216" s="11">
        <v>94</v>
      </c>
      <c r="H216" s="12">
        <v>78.3333333333333</v>
      </c>
      <c r="I216" s="11">
        <v>109.5</v>
      </c>
      <c r="J216" s="12">
        <v>91.25</v>
      </c>
      <c r="K216" s="11"/>
      <c r="L216" s="12">
        <v>84.7916666666667</v>
      </c>
    </row>
    <row r="217" ht="14.25" customHeight="1" spans="1:12">
      <c r="A217" s="9">
        <v>13</v>
      </c>
      <c r="B217" s="13" t="str">
        <f t="shared" si="17"/>
        <v>20240310</v>
      </c>
      <c r="C217" s="10" t="str">
        <f>"2420106406"</f>
        <v>2420106406</v>
      </c>
      <c r="D217" s="10" t="str">
        <f>"064"</f>
        <v>064</v>
      </c>
      <c r="E217" s="10" t="str">
        <f>"06"</f>
        <v>06</v>
      </c>
      <c r="F217" s="11" t="s">
        <v>23</v>
      </c>
      <c r="G217" s="11">
        <v>93.5</v>
      </c>
      <c r="H217" s="12">
        <v>77.9166666666667</v>
      </c>
      <c r="I217" s="11">
        <v>109.5</v>
      </c>
      <c r="J217" s="12">
        <v>91.25</v>
      </c>
      <c r="K217" s="11"/>
      <c r="L217" s="12">
        <v>84.5833333333333</v>
      </c>
    </row>
    <row r="218" ht="14.25" customHeight="1" spans="1:12">
      <c r="A218" s="9">
        <v>14</v>
      </c>
      <c r="B218" s="13" t="str">
        <f t="shared" si="17"/>
        <v>20240310</v>
      </c>
      <c r="C218" s="10" t="str">
        <f>"2420107102"</f>
        <v>2420107102</v>
      </c>
      <c r="D218" s="10" t="str">
        <f t="shared" si="18"/>
        <v>071</v>
      </c>
      <c r="E218" s="10" t="str">
        <f>"02"</f>
        <v>02</v>
      </c>
      <c r="F218" s="11" t="s">
        <v>23</v>
      </c>
      <c r="G218" s="11">
        <v>93</v>
      </c>
      <c r="H218" s="12">
        <v>77.5</v>
      </c>
      <c r="I218" s="11">
        <v>109.5</v>
      </c>
      <c r="J218" s="12">
        <v>91.25</v>
      </c>
      <c r="K218" s="11"/>
      <c r="L218" s="12">
        <v>84.375</v>
      </c>
    </row>
    <row r="219" ht="14.25" customHeight="1" spans="1:12">
      <c r="A219" s="9">
        <v>15</v>
      </c>
      <c r="B219" s="13" t="str">
        <f t="shared" si="17"/>
        <v>20240310</v>
      </c>
      <c r="C219" s="10" t="str">
        <f>"2420107217"</f>
        <v>2420107217</v>
      </c>
      <c r="D219" s="10" t="str">
        <f>"072"</f>
        <v>072</v>
      </c>
      <c r="E219" s="10" t="str">
        <f>"17"</f>
        <v>17</v>
      </c>
      <c r="F219" s="11" t="s">
        <v>23</v>
      </c>
      <c r="G219" s="11">
        <v>87.5</v>
      </c>
      <c r="H219" s="12">
        <v>72.9166666666667</v>
      </c>
      <c r="I219" s="11">
        <v>114</v>
      </c>
      <c r="J219" s="12">
        <v>95</v>
      </c>
      <c r="K219" s="11"/>
      <c r="L219" s="12">
        <v>83.9583333333333</v>
      </c>
    </row>
    <row r="220" ht="14.25" customHeight="1" spans="1:12">
      <c r="A220" s="9">
        <v>16</v>
      </c>
      <c r="B220" s="13" t="str">
        <f t="shared" si="17"/>
        <v>20240310</v>
      </c>
      <c r="C220" s="10" t="str">
        <f>"2420107117"</f>
        <v>2420107117</v>
      </c>
      <c r="D220" s="10" t="str">
        <f>"071"</f>
        <v>071</v>
      </c>
      <c r="E220" s="10" t="str">
        <f>"17"</f>
        <v>17</v>
      </c>
      <c r="F220" s="11" t="s">
        <v>23</v>
      </c>
      <c r="G220" s="11">
        <v>94</v>
      </c>
      <c r="H220" s="12">
        <v>78.3333333333333</v>
      </c>
      <c r="I220" s="11">
        <v>106.5</v>
      </c>
      <c r="J220" s="12">
        <v>88.75</v>
      </c>
      <c r="K220" s="11"/>
      <c r="L220" s="12">
        <v>83.5416666666667</v>
      </c>
    </row>
    <row r="221" ht="14.25" customHeight="1" spans="1:12">
      <c r="A221" s="9">
        <v>17</v>
      </c>
      <c r="B221" s="13" t="str">
        <f t="shared" si="17"/>
        <v>20240310</v>
      </c>
      <c r="C221" s="10" t="str">
        <f>"2420106202"</f>
        <v>2420106202</v>
      </c>
      <c r="D221" s="10" t="str">
        <f>"062"</f>
        <v>062</v>
      </c>
      <c r="E221" s="10" t="str">
        <f>"02"</f>
        <v>02</v>
      </c>
      <c r="F221" s="11" t="s">
        <v>23</v>
      </c>
      <c r="G221" s="11">
        <v>89</v>
      </c>
      <c r="H221" s="12">
        <v>74.1666666666667</v>
      </c>
      <c r="I221" s="11">
        <v>111</v>
      </c>
      <c r="J221" s="12">
        <v>92.5</v>
      </c>
      <c r="K221" s="11"/>
      <c r="L221" s="12">
        <v>83.3333333333333</v>
      </c>
    </row>
    <row r="222" ht="14.25" customHeight="1" spans="1:12">
      <c r="A222" s="9">
        <v>18</v>
      </c>
      <c r="B222" s="13" t="str">
        <f t="shared" si="17"/>
        <v>20240310</v>
      </c>
      <c r="C222" s="10" t="str">
        <f>"2420106911"</f>
        <v>2420106911</v>
      </c>
      <c r="D222" s="10" t="str">
        <f>"069"</f>
        <v>069</v>
      </c>
      <c r="E222" s="10" t="str">
        <f>"11"</f>
        <v>11</v>
      </c>
      <c r="F222" s="11" t="s">
        <v>23</v>
      </c>
      <c r="G222" s="11">
        <v>103.5</v>
      </c>
      <c r="H222" s="12">
        <v>86.25</v>
      </c>
      <c r="I222" s="11">
        <v>96.5</v>
      </c>
      <c r="J222" s="12">
        <v>80.4166666666667</v>
      </c>
      <c r="K222" s="11"/>
      <c r="L222" s="12">
        <v>83.3333333333333</v>
      </c>
    </row>
    <row r="223" ht="14.25" customHeight="1" spans="1:12">
      <c r="A223" s="9">
        <v>19</v>
      </c>
      <c r="B223" s="13" t="str">
        <f t="shared" si="17"/>
        <v>20240310</v>
      </c>
      <c r="C223" s="10" t="str">
        <f>"2420106912"</f>
        <v>2420106912</v>
      </c>
      <c r="D223" s="10" t="str">
        <f>"069"</f>
        <v>069</v>
      </c>
      <c r="E223" s="10" t="str">
        <f>"12"</f>
        <v>12</v>
      </c>
      <c r="F223" s="11" t="s">
        <v>23</v>
      </c>
      <c r="G223" s="11">
        <v>93</v>
      </c>
      <c r="H223" s="12">
        <v>77.5</v>
      </c>
      <c r="I223" s="11">
        <v>107</v>
      </c>
      <c r="J223" s="12">
        <v>89.1666666666667</v>
      </c>
      <c r="K223" s="11"/>
      <c r="L223" s="12">
        <v>83.3333333333333</v>
      </c>
    </row>
    <row r="224" ht="14.25" customHeight="1" spans="1:12">
      <c r="A224" s="9">
        <v>20</v>
      </c>
      <c r="B224" s="13" t="str">
        <f t="shared" si="17"/>
        <v>20240310</v>
      </c>
      <c r="C224" s="10" t="str">
        <f>"2420107020"</f>
        <v>2420107020</v>
      </c>
      <c r="D224" s="10" t="str">
        <f>"070"</f>
        <v>070</v>
      </c>
      <c r="E224" s="10" t="str">
        <f>"20"</f>
        <v>20</v>
      </c>
      <c r="F224" s="11" t="s">
        <v>23</v>
      </c>
      <c r="G224" s="11">
        <v>96.5</v>
      </c>
      <c r="H224" s="12">
        <v>80.4166666666667</v>
      </c>
      <c r="I224" s="11">
        <v>103.5</v>
      </c>
      <c r="J224" s="12">
        <v>86.25</v>
      </c>
      <c r="K224" s="11"/>
      <c r="L224" s="12">
        <v>83.3333333333333</v>
      </c>
    </row>
    <row r="225" ht="14.25" customHeight="1" spans="1:12">
      <c r="A225" s="39">
        <v>1</v>
      </c>
      <c r="B225" s="40" t="str">
        <f t="shared" ref="B225:B246" si="19">"20240311"</f>
        <v>20240311</v>
      </c>
      <c r="C225" s="41" t="str">
        <f>"2420107327"</f>
        <v>2420107327</v>
      </c>
      <c r="D225" s="41" t="str">
        <f>"073"</f>
        <v>073</v>
      </c>
      <c r="E225" s="41" t="str">
        <f>"27"</f>
        <v>27</v>
      </c>
      <c r="F225" s="42" t="s">
        <v>24</v>
      </c>
      <c r="G225" s="42">
        <v>97.5</v>
      </c>
      <c r="H225" s="43">
        <v>81.25</v>
      </c>
      <c r="I225" s="42">
        <v>111</v>
      </c>
      <c r="J225" s="43">
        <v>92.5</v>
      </c>
      <c r="K225" s="42"/>
      <c r="L225" s="43">
        <v>86.875</v>
      </c>
    </row>
    <row r="226" ht="14.25" customHeight="1" spans="1:12">
      <c r="A226" s="39">
        <v>2</v>
      </c>
      <c r="B226" s="40" t="str">
        <f t="shared" si="19"/>
        <v>20240311</v>
      </c>
      <c r="C226" s="41" t="str">
        <f>"2420107530"</f>
        <v>2420107530</v>
      </c>
      <c r="D226" s="41" t="str">
        <f>"075"</f>
        <v>075</v>
      </c>
      <c r="E226" s="41" t="str">
        <f>"30"</f>
        <v>30</v>
      </c>
      <c r="F226" s="42" t="s">
        <v>24</v>
      </c>
      <c r="G226" s="42">
        <v>94</v>
      </c>
      <c r="H226" s="43">
        <v>78.3333333333333</v>
      </c>
      <c r="I226" s="42">
        <v>114.5</v>
      </c>
      <c r="J226" s="43">
        <v>95.4166666666667</v>
      </c>
      <c r="K226" s="42"/>
      <c r="L226" s="43">
        <v>86.875</v>
      </c>
    </row>
    <row r="227" ht="14.25" customHeight="1" spans="1:12">
      <c r="A227" s="39">
        <v>3</v>
      </c>
      <c r="B227" s="40" t="str">
        <f t="shared" si="19"/>
        <v>20240311</v>
      </c>
      <c r="C227" s="41" t="str">
        <f>"2420107414"</f>
        <v>2420107414</v>
      </c>
      <c r="D227" s="41" t="str">
        <f>"074"</f>
        <v>074</v>
      </c>
      <c r="E227" s="41" t="str">
        <f>"14"</f>
        <v>14</v>
      </c>
      <c r="F227" s="42" t="s">
        <v>24</v>
      </c>
      <c r="G227" s="42">
        <v>96</v>
      </c>
      <c r="H227" s="43">
        <v>80</v>
      </c>
      <c r="I227" s="42">
        <v>111.5</v>
      </c>
      <c r="J227" s="43">
        <v>92.9166666666667</v>
      </c>
      <c r="K227" s="42"/>
      <c r="L227" s="43">
        <v>86.4583333333333</v>
      </c>
    </row>
    <row r="228" ht="14.25" customHeight="1" spans="1:12">
      <c r="A228" s="39">
        <v>4</v>
      </c>
      <c r="B228" s="40" t="str">
        <f t="shared" si="19"/>
        <v>20240311</v>
      </c>
      <c r="C228" s="41" t="str">
        <f>"2420107628"</f>
        <v>2420107628</v>
      </c>
      <c r="D228" s="41" t="str">
        <f>"076"</f>
        <v>076</v>
      </c>
      <c r="E228" s="41" t="str">
        <f>"28"</f>
        <v>28</v>
      </c>
      <c r="F228" s="42" t="s">
        <v>24</v>
      </c>
      <c r="G228" s="42">
        <v>93.5</v>
      </c>
      <c r="H228" s="43">
        <v>77.9166666666667</v>
      </c>
      <c r="I228" s="42">
        <v>114</v>
      </c>
      <c r="J228" s="43">
        <v>95</v>
      </c>
      <c r="K228" s="42"/>
      <c r="L228" s="43">
        <v>86.4583333333333</v>
      </c>
    </row>
    <row r="229" ht="14.25" customHeight="1" spans="1:12">
      <c r="A229" s="39">
        <v>5</v>
      </c>
      <c r="B229" s="40" t="str">
        <f t="shared" si="19"/>
        <v>20240311</v>
      </c>
      <c r="C229" s="41" t="str">
        <f>"2420107304"</f>
        <v>2420107304</v>
      </c>
      <c r="D229" s="41" t="str">
        <f>"073"</f>
        <v>073</v>
      </c>
      <c r="E229" s="41" t="str">
        <f>"04"</f>
        <v>04</v>
      </c>
      <c r="F229" s="42" t="s">
        <v>24</v>
      </c>
      <c r="G229" s="42">
        <v>98</v>
      </c>
      <c r="H229" s="43">
        <v>81.6666666666667</v>
      </c>
      <c r="I229" s="42">
        <v>107</v>
      </c>
      <c r="J229" s="43">
        <v>89.1666666666667</v>
      </c>
      <c r="K229" s="42"/>
      <c r="L229" s="43">
        <v>85.4166666666667</v>
      </c>
    </row>
    <row r="230" ht="14.25" customHeight="1" spans="1:12">
      <c r="A230" s="39">
        <v>6</v>
      </c>
      <c r="B230" s="40" t="str">
        <f t="shared" si="19"/>
        <v>20240311</v>
      </c>
      <c r="C230" s="41" t="str">
        <f>"2420107520"</f>
        <v>2420107520</v>
      </c>
      <c r="D230" s="41" t="str">
        <f>"075"</f>
        <v>075</v>
      </c>
      <c r="E230" s="41" t="str">
        <f>"20"</f>
        <v>20</v>
      </c>
      <c r="F230" s="42" t="s">
        <v>24</v>
      </c>
      <c r="G230" s="42">
        <v>98.5</v>
      </c>
      <c r="H230" s="43">
        <v>82.0833333333333</v>
      </c>
      <c r="I230" s="42">
        <v>106</v>
      </c>
      <c r="J230" s="43">
        <v>88.3333333333333</v>
      </c>
      <c r="K230" s="42"/>
      <c r="L230" s="43">
        <v>85.2083333333333</v>
      </c>
    </row>
    <row r="231" ht="14.25" customHeight="1" spans="1:12">
      <c r="A231" s="39">
        <v>7</v>
      </c>
      <c r="B231" s="40" t="str">
        <f t="shared" si="19"/>
        <v>20240311</v>
      </c>
      <c r="C231" s="41" t="str">
        <f>"2420108329"</f>
        <v>2420108329</v>
      </c>
      <c r="D231" s="41" t="str">
        <f>"083"</f>
        <v>083</v>
      </c>
      <c r="E231" s="41" t="str">
        <f>"29"</f>
        <v>29</v>
      </c>
      <c r="F231" s="42" t="s">
        <v>24</v>
      </c>
      <c r="G231" s="42">
        <v>94</v>
      </c>
      <c r="H231" s="43">
        <v>78.3333333333333</v>
      </c>
      <c r="I231" s="42">
        <v>109.5</v>
      </c>
      <c r="J231" s="43">
        <v>91.25</v>
      </c>
      <c r="K231" s="42"/>
      <c r="L231" s="43">
        <v>84.7916666666667</v>
      </c>
    </row>
    <row r="232" ht="14.25" customHeight="1" spans="1:12">
      <c r="A232" s="39">
        <v>8</v>
      </c>
      <c r="B232" s="40" t="str">
        <f t="shared" si="19"/>
        <v>20240311</v>
      </c>
      <c r="C232" s="41" t="str">
        <f>"2420108503"</f>
        <v>2420108503</v>
      </c>
      <c r="D232" s="41" t="str">
        <f>"085"</f>
        <v>085</v>
      </c>
      <c r="E232" s="41" t="str">
        <f>"03"</f>
        <v>03</v>
      </c>
      <c r="F232" s="42" t="s">
        <v>24</v>
      </c>
      <c r="G232" s="42">
        <v>95.5</v>
      </c>
      <c r="H232" s="43">
        <v>79.5833333333333</v>
      </c>
      <c r="I232" s="42">
        <v>107.5</v>
      </c>
      <c r="J232" s="43">
        <v>89.5833333333333</v>
      </c>
      <c r="K232" s="42"/>
      <c r="L232" s="43">
        <v>84.5833333333333</v>
      </c>
    </row>
    <row r="233" ht="14.25" customHeight="1" spans="1:12">
      <c r="A233" s="39">
        <v>9</v>
      </c>
      <c r="B233" s="40" t="str">
        <f t="shared" si="19"/>
        <v>20240311</v>
      </c>
      <c r="C233" s="41" t="str">
        <f>"2420107905"</f>
        <v>2420107905</v>
      </c>
      <c r="D233" s="41" t="str">
        <f>"079"</f>
        <v>079</v>
      </c>
      <c r="E233" s="41" t="str">
        <f>"05"</f>
        <v>05</v>
      </c>
      <c r="F233" s="42" t="s">
        <v>24</v>
      </c>
      <c r="G233" s="42">
        <v>87.5</v>
      </c>
      <c r="H233" s="43">
        <v>72.9166666666667</v>
      </c>
      <c r="I233" s="42">
        <v>114</v>
      </c>
      <c r="J233" s="43">
        <v>95</v>
      </c>
      <c r="K233" s="42"/>
      <c r="L233" s="43">
        <v>83.9583333333333</v>
      </c>
    </row>
    <row r="234" ht="14.25" customHeight="1" spans="1:12">
      <c r="A234" s="39">
        <v>10</v>
      </c>
      <c r="B234" s="40" t="str">
        <f t="shared" si="19"/>
        <v>20240311</v>
      </c>
      <c r="C234" s="41" t="str">
        <f>"2420108313"</f>
        <v>2420108313</v>
      </c>
      <c r="D234" s="41" t="str">
        <f>"083"</f>
        <v>083</v>
      </c>
      <c r="E234" s="41" t="str">
        <f>"13"</f>
        <v>13</v>
      </c>
      <c r="F234" s="42" t="s">
        <v>24</v>
      </c>
      <c r="G234" s="42">
        <v>89.5</v>
      </c>
      <c r="H234" s="43">
        <v>74.5833333333333</v>
      </c>
      <c r="I234" s="42">
        <v>112</v>
      </c>
      <c r="J234" s="43">
        <v>93.3333333333333</v>
      </c>
      <c r="K234" s="42"/>
      <c r="L234" s="43">
        <v>83.9583333333333</v>
      </c>
    </row>
    <row r="235" ht="14.25" customHeight="1" spans="1:12">
      <c r="A235" s="39">
        <v>11</v>
      </c>
      <c r="B235" s="40" t="str">
        <f t="shared" si="19"/>
        <v>20240311</v>
      </c>
      <c r="C235" s="41" t="str">
        <f>"2420108001"</f>
        <v>2420108001</v>
      </c>
      <c r="D235" s="41" t="str">
        <f>"080"</f>
        <v>080</v>
      </c>
      <c r="E235" s="41" t="str">
        <f>"01"</f>
        <v>01</v>
      </c>
      <c r="F235" s="42" t="s">
        <v>24</v>
      </c>
      <c r="G235" s="42">
        <v>91.5</v>
      </c>
      <c r="H235" s="43">
        <v>76.25</v>
      </c>
      <c r="I235" s="42">
        <v>109.5</v>
      </c>
      <c r="J235" s="43">
        <v>91.25</v>
      </c>
      <c r="K235" s="42"/>
      <c r="L235" s="43">
        <v>83.75</v>
      </c>
    </row>
    <row r="236" ht="14.25" customHeight="1" spans="1:12">
      <c r="A236" s="39">
        <v>12</v>
      </c>
      <c r="B236" s="40" t="str">
        <f t="shared" si="19"/>
        <v>20240311</v>
      </c>
      <c r="C236" s="41" t="str">
        <f>"2420108508"</f>
        <v>2420108508</v>
      </c>
      <c r="D236" s="41" t="str">
        <f>"085"</f>
        <v>085</v>
      </c>
      <c r="E236" s="41" t="str">
        <f>"08"</f>
        <v>08</v>
      </c>
      <c r="F236" s="42" t="s">
        <v>24</v>
      </c>
      <c r="G236" s="42">
        <v>92.5</v>
      </c>
      <c r="H236" s="43">
        <v>77.0833333333333</v>
      </c>
      <c r="I236" s="42">
        <v>108.5</v>
      </c>
      <c r="J236" s="43">
        <v>90.4166666666667</v>
      </c>
      <c r="K236" s="42"/>
      <c r="L236" s="43">
        <v>83.75</v>
      </c>
    </row>
    <row r="237" ht="14.25" customHeight="1" spans="1:12">
      <c r="A237" s="39">
        <v>13</v>
      </c>
      <c r="B237" s="40" t="str">
        <f t="shared" si="19"/>
        <v>20240311</v>
      </c>
      <c r="C237" s="41" t="str">
        <f>"2420107506"</f>
        <v>2420107506</v>
      </c>
      <c r="D237" s="41" t="str">
        <f>"075"</f>
        <v>075</v>
      </c>
      <c r="E237" s="41" t="str">
        <f>"06"</f>
        <v>06</v>
      </c>
      <c r="F237" s="42" t="s">
        <v>24</v>
      </c>
      <c r="G237" s="42">
        <v>94.5</v>
      </c>
      <c r="H237" s="43">
        <v>78.75</v>
      </c>
      <c r="I237" s="42">
        <v>106</v>
      </c>
      <c r="J237" s="43">
        <v>88.3333333333333</v>
      </c>
      <c r="K237" s="42"/>
      <c r="L237" s="43">
        <v>83.5416666666667</v>
      </c>
    </row>
    <row r="238" ht="14.25" customHeight="1" spans="1:12">
      <c r="A238" s="39">
        <v>14</v>
      </c>
      <c r="B238" s="40" t="str">
        <f t="shared" si="19"/>
        <v>20240311</v>
      </c>
      <c r="C238" s="41" t="str">
        <f>"2420107827"</f>
        <v>2420107827</v>
      </c>
      <c r="D238" s="41" t="str">
        <f>"078"</f>
        <v>078</v>
      </c>
      <c r="E238" s="41" t="str">
        <f>"27"</f>
        <v>27</v>
      </c>
      <c r="F238" s="42" t="s">
        <v>24</v>
      </c>
      <c r="G238" s="42">
        <v>99.5</v>
      </c>
      <c r="H238" s="43">
        <v>82.9166666666667</v>
      </c>
      <c r="I238" s="42">
        <v>100.5</v>
      </c>
      <c r="J238" s="43">
        <v>83.75</v>
      </c>
      <c r="K238" s="42"/>
      <c r="L238" s="43">
        <v>83.3333333333333</v>
      </c>
    </row>
    <row r="239" ht="14.25" customHeight="1" spans="1:12">
      <c r="A239" s="39">
        <v>15</v>
      </c>
      <c r="B239" s="40" t="str">
        <f t="shared" si="19"/>
        <v>20240311</v>
      </c>
      <c r="C239" s="41" t="str">
        <f>"2420107918"</f>
        <v>2420107918</v>
      </c>
      <c r="D239" s="41" t="str">
        <f>"079"</f>
        <v>079</v>
      </c>
      <c r="E239" s="41" t="str">
        <f>"18"</f>
        <v>18</v>
      </c>
      <c r="F239" s="42" t="s">
        <v>24</v>
      </c>
      <c r="G239" s="42">
        <v>92.5</v>
      </c>
      <c r="H239" s="43">
        <v>77.0833333333333</v>
      </c>
      <c r="I239" s="42">
        <v>107</v>
      </c>
      <c r="J239" s="43">
        <v>89.1666666666667</v>
      </c>
      <c r="K239" s="42"/>
      <c r="L239" s="43">
        <v>83.125</v>
      </c>
    </row>
    <row r="240" ht="14.25" customHeight="1" spans="1:12">
      <c r="A240" s="39">
        <v>16</v>
      </c>
      <c r="B240" s="40" t="str">
        <f t="shared" si="19"/>
        <v>20240311</v>
      </c>
      <c r="C240" s="41" t="str">
        <f>"2420108015"</f>
        <v>2420108015</v>
      </c>
      <c r="D240" s="41" t="str">
        <f>"080"</f>
        <v>080</v>
      </c>
      <c r="E240" s="41" t="str">
        <f>"15"</f>
        <v>15</v>
      </c>
      <c r="F240" s="42" t="s">
        <v>24</v>
      </c>
      <c r="G240" s="42">
        <v>92.5</v>
      </c>
      <c r="H240" s="43">
        <v>77.0833333333333</v>
      </c>
      <c r="I240" s="42">
        <v>107</v>
      </c>
      <c r="J240" s="43">
        <v>89.1666666666667</v>
      </c>
      <c r="K240" s="42"/>
      <c r="L240" s="43">
        <v>83.125</v>
      </c>
    </row>
    <row r="241" ht="14.25" customHeight="1" spans="1:12">
      <c r="A241" s="39">
        <v>17</v>
      </c>
      <c r="B241" s="40" t="str">
        <f t="shared" si="19"/>
        <v>20240311</v>
      </c>
      <c r="C241" s="41" t="str">
        <f>"2420108109"</f>
        <v>2420108109</v>
      </c>
      <c r="D241" s="41" t="str">
        <f>"081"</f>
        <v>081</v>
      </c>
      <c r="E241" s="41" t="str">
        <f>"09"</f>
        <v>09</v>
      </c>
      <c r="F241" s="42" t="s">
        <v>24</v>
      </c>
      <c r="G241" s="42">
        <v>89.5</v>
      </c>
      <c r="H241" s="43">
        <v>74.5833333333333</v>
      </c>
      <c r="I241" s="42">
        <v>110</v>
      </c>
      <c r="J241" s="43">
        <v>91.6666666666667</v>
      </c>
      <c r="K241" s="42"/>
      <c r="L241" s="43">
        <v>83.125</v>
      </c>
    </row>
    <row r="242" ht="14.25" customHeight="1" spans="1:12">
      <c r="A242" s="39">
        <v>18</v>
      </c>
      <c r="B242" s="40" t="str">
        <f t="shared" si="19"/>
        <v>20240311</v>
      </c>
      <c r="C242" s="41" t="str">
        <f>"2420107326"</f>
        <v>2420107326</v>
      </c>
      <c r="D242" s="41" t="str">
        <f>"073"</f>
        <v>073</v>
      </c>
      <c r="E242" s="41" t="str">
        <f>"26"</f>
        <v>26</v>
      </c>
      <c r="F242" s="42" t="s">
        <v>24</v>
      </c>
      <c r="G242" s="42">
        <v>89</v>
      </c>
      <c r="H242" s="43">
        <v>74.1666666666667</v>
      </c>
      <c r="I242" s="42">
        <v>110</v>
      </c>
      <c r="J242" s="43">
        <v>91.6666666666667</v>
      </c>
      <c r="K242" s="42"/>
      <c r="L242" s="43">
        <v>82.9166666666667</v>
      </c>
    </row>
    <row r="243" ht="14.25" customHeight="1" spans="1:12">
      <c r="A243" s="39">
        <v>19</v>
      </c>
      <c r="B243" s="40" t="str">
        <f t="shared" si="19"/>
        <v>20240311</v>
      </c>
      <c r="C243" s="41" t="str">
        <f>"2420108327"</f>
        <v>2420108327</v>
      </c>
      <c r="D243" s="41" t="str">
        <f>"083"</f>
        <v>083</v>
      </c>
      <c r="E243" s="41" t="str">
        <f>"27"</f>
        <v>27</v>
      </c>
      <c r="F243" s="42" t="s">
        <v>24</v>
      </c>
      <c r="G243" s="42">
        <v>88</v>
      </c>
      <c r="H243" s="43">
        <v>73.3333333333333</v>
      </c>
      <c r="I243" s="42">
        <v>111</v>
      </c>
      <c r="J243" s="43">
        <v>92.5</v>
      </c>
      <c r="K243" s="42"/>
      <c r="L243" s="43">
        <v>82.9166666666667</v>
      </c>
    </row>
    <row r="244" ht="14.25" customHeight="1" spans="1:12">
      <c r="A244" s="39">
        <v>20</v>
      </c>
      <c r="B244" s="40" t="str">
        <f t="shared" si="19"/>
        <v>20240311</v>
      </c>
      <c r="C244" s="41" t="str">
        <f>"2420108530"</f>
        <v>2420108530</v>
      </c>
      <c r="D244" s="41" t="str">
        <f>"085"</f>
        <v>085</v>
      </c>
      <c r="E244" s="41" t="str">
        <f>"30"</f>
        <v>30</v>
      </c>
      <c r="F244" s="42" t="s">
        <v>24</v>
      </c>
      <c r="G244" s="42">
        <v>89</v>
      </c>
      <c r="H244" s="43">
        <v>74.1666666666667</v>
      </c>
      <c r="I244" s="42">
        <v>110</v>
      </c>
      <c r="J244" s="43">
        <v>91.6666666666667</v>
      </c>
      <c r="K244" s="42"/>
      <c r="L244" s="43">
        <v>82.9166666666667</v>
      </c>
    </row>
    <row r="245" ht="14.25" customHeight="1" spans="1:12">
      <c r="A245" s="39">
        <v>21</v>
      </c>
      <c r="B245" s="40" t="str">
        <f t="shared" si="19"/>
        <v>20240311</v>
      </c>
      <c r="C245" s="41" t="str">
        <f>"2420107616"</f>
        <v>2420107616</v>
      </c>
      <c r="D245" s="41" t="str">
        <f>"076"</f>
        <v>076</v>
      </c>
      <c r="E245" s="41" t="str">
        <f>"16"</f>
        <v>16</v>
      </c>
      <c r="F245" s="42" t="s">
        <v>24</v>
      </c>
      <c r="G245" s="42">
        <v>84</v>
      </c>
      <c r="H245" s="43">
        <v>70</v>
      </c>
      <c r="I245" s="42">
        <v>114.5</v>
      </c>
      <c r="J245" s="43">
        <v>95.4166666666667</v>
      </c>
      <c r="K245" s="42"/>
      <c r="L245" s="43">
        <v>82.7083333333333</v>
      </c>
    </row>
    <row r="246" ht="14.25" customHeight="1" spans="1:12">
      <c r="A246" s="39">
        <v>22</v>
      </c>
      <c r="B246" s="40" t="str">
        <f t="shared" si="19"/>
        <v>20240311</v>
      </c>
      <c r="C246" s="41" t="str">
        <f>"2420108223"</f>
        <v>2420108223</v>
      </c>
      <c r="D246" s="41" t="str">
        <f>"082"</f>
        <v>082</v>
      </c>
      <c r="E246" s="41" t="str">
        <f>"23"</f>
        <v>23</v>
      </c>
      <c r="F246" s="42" t="s">
        <v>24</v>
      </c>
      <c r="G246" s="42">
        <v>93</v>
      </c>
      <c r="H246" s="43">
        <v>77.5</v>
      </c>
      <c r="I246" s="42">
        <v>105.5</v>
      </c>
      <c r="J246" s="43">
        <v>87.9166666666667</v>
      </c>
      <c r="K246" s="42"/>
      <c r="L246" s="43">
        <v>82.7083333333333</v>
      </c>
    </row>
    <row r="247" ht="14.25" customHeight="1" spans="1:12">
      <c r="A247" s="34">
        <v>1</v>
      </c>
      <c r="B247" s="35" t="str">
        <f t="shared" ref="B247:B255" si="20">"20240312"</f>
        <v>20240312</v>
      </c>
      <c r="C247" s="36" t="str">
        <f>"2410312221"</f>
        <v>2410312221</v>
      </c>
      <c r="D247" s="36" t="str">
        <f>"122"</f>
        <v>122</v>
      </c>
      <c r="E247" s="36" t="str">
        <f>"21"</f>
        <v>21</v>
      </c>
      <c r="F247" s="37" t="s">
        <v>25</v>
      </c>
      <c r="G247" s="37">
        <v>93</v>
      </c>
      <c r="H247" s="38">
        <v>77.5</v>
      </c>
      <c r="I247" s="37">
        <v>79.3</v>
      </c>
      <c r="J247" s="38">
        <v>66.0833333333333</v>
      </c>
      <c r="K247" s="37"/>
      <c r="L247" s="38">
        <v>71.7916666666667</v>
      </c>
    </row>
    <row r="248" ht="14.25" customHeight="1" spans="1:12">
      <c r="A248" s="34">
        <v>2</v>
      </c>
      <c r="B248" s="35" t="str">
        <f t="shared" si="20"/>
        <v>20240312</v>
      </c>
      <c r="C248" s="36" t="str">
        <f>"2410311914"</f>
        <v>2410311914</v>
      </c>
      <c r="D248" s="36" t="str">
        <f>"119"</f>
        <v>119</v>
      </c>
      <c r="E248" s="36" t="str">
        <f>"14"</f>
        <v>14</v>
      </c>
      <c r="F248" s="37" t="s">
        <v>25</v>
      </c>
      <c r="G248" s="37">
        <v>85</v>
      </c>
      <c r="H248" s="38">
        <v>70.8333333333333</v>
      </c>
      <c r="I248" s="37">
        <v>81.1</v>
      </c>
      <c r="J248" s="38">
        <v>67.5833333333333</v>
      </c>
      <c r="K248" s="37"/>
      <c r="L248" s="38">
        <v>69.2083333333333</v>
      </c>
    </row>
    <row r="249" ht="14.25" customHeight="1" spans="1:12">
      <c r="A249" s="34">
        <v>3</v>
      </c>
      <c r="B249" s="35" t="str">
        <f t="shared" si="20"/>
        <v>20240312</v>
      </c>
      <c r="C249" s="36" t="str">
        <f>"2410312001"</f>
        <v>2410312001</v>
      </c>
      <c r="D249" s="36" t="str">
        <f t="shared" ref="D249:D252" si="21">"120"</f>
        <v>120</v>
      </c>
      <c r="E249" s="36" t="str">
        <f>"01"</f>
        <v>01</v>
      </c>
      <c r="F249" s="37" t="s">
        <v>25</v>
      </c>
      <c r="G249" s="37">
        <v>82.5</v>
      </c>
      <c r="H249" s="38">
        <v>68.75</v>
      </c>
      <c r="I249" s="37">
        <v>83.4</v>
      </c>
      <c r="J249" s="38">
        <v>69.5</v>
      </c>
      <c r="K249" s="37"/>
      <c r="L249" s="38">
        <v>69.125</v>
      </c>
    </row>
    <row r="250" ht="14.25" customHeight="1" spans="1:12">
      <c r="A250" s="34">
        <v>4</v>
      </c>
      <c r="B250" s="35" t="str">
        <f t="shared" si="20"/>
        <v>20240312</v>
      </c>
      <c r="C250" s="36" t="str">
        <f>"2410312007"</f>
        <v>2410312007</v>
      </c>
      <c r="D250" s="36" t="str">
        <f t="shared" si="21"/>
        <v>120</v>
      </c>
      <c r="E250" s="36" t="str">
        <f>"07"</f>
        <v>07</v>
      </c>
      <c r="F250" s="37" t="s">
        <v>25</v>
      </c>
      <c r="G250" s="37">
        <v>80</v>
      </c>
      <c r="H250" s="38">
        <v>66.6666666666667</v>
      </c>
      <c r="I250" s="37">
        <v>81.9</v>
      </c>
      <c r="J250" s="38">
        <v>68.25</v>
      </c>
      <c r="K250" s="37"/>
      <c r="L250" s="38">
        <v>67.4583333333333</v>
      </c>
    </row>
    <row r="251" ht="14.25" customHeight="1" spans="1:12">
      <c r="A251" s="34">
        <v>5</v>
      </c>
      <c r="B251" s="35" t="str">
        <f t="shared" si="20"/>
        <v>20240312</v>
      </c>
      <c r="C251" s="36" t="str">
        <f>"2410312205"</f>
        <v>2410312205</v>
      </c>
      <c r="D251" s="36" t="str">
        <f>"122"</f>
        <v>122</v>
      </c>
      <c r="E251" s="36" t="str">
        <f>"05"</f>
        <v>05</v>
      </c>
      <c r="F251" s="37" t="s">
        <v>25</v>
      </c>
      <c r="G251" s="37">
        <v>82</v>
      </c>
      <c r="H251" s="38">
        <v>68.3333333333333</v>
      </c>
      <c r="I251" s="37">
        <v>76.9</v>
      </c>
      <c r="J251" s="38">
        <v>64.0833333333333</v>
      </c>
      <c r="K251" s="37"/>
      <c r="L251" s="38">
        <v>66.2083333333333</v>
      </c>
    </row>
    <row r="252" ht="14.25" customHeight="1" spans="1:12">
      <c r="A252" s="34">
        <v>6</v>
      </c>
      <c r="B252" s="35" t="str">
        <f t="shared" si="20"/>
        <v>20240312</v>
      </c>
      <c r="C252" s="36" t="str">
        <f>"2410312005"</f>
        <v>2410312005</v>
      </c>
      <c r="D252" s="36" t="str">
        <f t="shared" si="21"/>
        <v>120</v>
      </c>
      <c r="E252" s="36" t="str">
        <f>"05"</f>
        <v>05</v>
      </c>
      <c r="F252" s="37" t="s">
        <v>25</v>
      </c>
      <c r="G252" s="37">
        <v>82.5</v>
      </c>
      <c r="H252" s="38">
        <v>68.75</v>
      </c>
      <c r="I252" s="37">
        <v>75.1</v>
      </c>
      <c r="J252" s="38">
        <v>62.5833333333333</v>
      </c>
      <c r="K252" s="37"/>
      <c r="L252" s="38">
        <v>65.6666666666667</v>
      </c>
    </row>
    <row r="253" ht="14.25" customHeight="1" spans="1:12">
      <c r="A253" s="34">
        <v>7</v>
      </c>
      <c r="B253" s="35" t="str">
        <f t="shared" si="20"/>
        <v>20240312</v>
      </c>
      <c r="C253" s="36" t="str">
        <f>"2410311930"</f>
        <v>2410311930</v>
      </c>
      <c r="D253" s="36" t="str">
        <f>"119"</f>
        <v>119</v>
      </c>
      <c r="E253" s="36" t="str">
        <f>"30"</f>
        <v>30</v>
      </c>
      <c r="F253" s="37" t="s">
        <v>25</v>
      </c>
      <c r="G253" s="37">
        <v>79.5</v>
      </c>
      <c r="H253" s="38">
        <v>66.25</v>
      </c>
      <c r="I253" s="37">
        <v>75.6</v>
      </c>
      <c r="J253" s="38">
        <v>63</v>
      </c>
      <c r="K253" s="37"/>
      <c r="L253" s="38">
        <v>64.625</v>
      </c>
    </row>
    <row r="254" ht="14.25" customHeight="1" spans="1:12">
      <c r="A254" s="34">
        <v>8</v>
      </c>
      <c r="B254" s="35" t="str">
        <f t="shared" si="20"/>
        <v>20240312</v>
      </c>
      <c r="C254" s="36" t="str">
        <f>"2410311901"</f>
        <v>2410311901</v>
      </c>
      <c r="D254" s="36" t="str">
        <f>"119"</f>
        <v>119</v>
      </c>
      <c r="E254" s="36" t="str">
        <f>"01"</f>
        <v>01</v>
      </c>
      <c r="F254" s="37" t="s">
        <v>25</v>
      </c>
      <c r="G254" s="37">
        <v>82</v>
      </c>
      <c r="H254" s="38">
        <v>68.3333333333333</v>
      </c>
      <c r="I254" s="37">
        <v>73</v>
      </c>
      <c r="J254" s="38">
        <v>60.8333333333333</v>
      </c>
      <c r="K254" s="37"/>
      <c r="L254" s="38">
        <v>64.5833333333333</v>
      </c>
    </row>
    <row r="255" ht="14.25" customHeight="1" spans="1:12">
      <c r="A255" s="34">
        <v>9</v>
      </c>
      <c r="B255" s="35" t="str">
        <f t="shared" si="20"/>
        <v>20240312</v>
      </c>
      <c r="C255" s="36" t="str">
        <f>"2410312109"</f>
        <v>2410312109</v>
      </c>
      <c r="D255" s="36" t="str">
        <f>"121"</f>
        <v>121</v>
      </c>
      <c r="E255" s="36" t="str">
        <f>"09"</f>
        <v>09</v>
      </c>
      <c r="F255" s="37" t="s">
        <v>25</v>
      </c>
      <c r="G255" s="37">
        <v>79</v>
      </c>
      <c r="H255" s="38">
        <v>65.8333333333333</v>
      </c>
      <c r="I255" s="37">
        <v>75.1</v>
      </c>
      <c r="J255" s="38">
        <v>62.5833333333333</v>
      </c>
      <c r="K255" s="37"/>
      <c r="L255" s="38">
        <v>64.2083333333333</v>
      </c>
    </row>
    <row r="256" ht="14.25" customHeight="1" spans="1:12">
      <c r="A256" s="39">
        <v>1</v>
      </c>
      <c r="B256" s="40" t="str">
        <f t="shared" ref="B256:B273" si="22">"20240313"</f>
        <v>20240313</v>
      </c>
      <c r="C256" s="41" t="str">
        <f>"2420209017"</f>
        <v>2420209017</v>
      </c>
      <c r="D256" s="41" t="str">
        <f>"090"</f>
        <v>090</v>
      </c>
      <c r="E256" s="41" t="str">
        <f>"17"</f>
        <v>17</v>
      </c>
      <c r="F256" s="42" t="s">
        <v>26</v>
      </c>
      <c r="G256" s="42">
        <v>90</v>
      </c>
      <c r="H256" s="43">
        <v>75</v>
      </c>
      <c r="I256" s="42">
        <v>102</v>
      </c>
      <c r="J256" s="43">
        <v>85</v>
      </c>
      <c r="K256" s="42"/>
      <c r="L256" s="43">
        <v>80</v>
      </c>
    </row>
    <row r="257" ht="14.25" customHeight="1" spans="1:12">
      <c r="A257" s="39">
        <v>2</v>
      </c>
      <c r="B257" s="40" t="str">
        <f t="shared" si="22"/>
        <v>20240313</v>
      </c>
      <c r="C257" s="41" t="str">
        <f>"2420208817"</f>
        <v>2420208817</v>
      </c>
      <c r="D257" s="41" t="str">
        <f t="shared" ref="D257:D262" si="23">"088"</f>
        <v>088</v>
      </c>
      <c r="E257" s="41" t="str">
        <f>"17"</f>
        <v>17</v>
      </c>
      <c r="F257" s="42" t="s">
        <v>26</v>
      </c>
      <c r="G257" s="42">
        <v>92.5</v>
      </c>
      <c r="H257" s="43">
        <v>77.0833333333333</v>
      </c>
      <c r="I257" s="42">
        <v>96.5</v>
      </c>
      <c r="J257" s="43">
        <v>80.4166666666667</v>
      </c>
      <c r="K257" s="42"/>
      <c r="L257" s="43">
        <v>78.75</v>
      </c>
    </row>
    <row r="258" ht="14.25" customHeight="1" spans="1:12">
      <c r="A258" s="39">
        <v>3</v>
      </c>
      <c r="B258" s="40" t="str">
        <f t="shared" si="22"/>
        <v>20240313</v>
      </c>
      <c r="C258" s="41" t="str">
        <f>"2420209014"</f>
        <v>2420209014</v>
      </c>
      <c r="D258" s="41" t="str">
        <f>"090"</f>
        <v>090</v>
      </c>
      <c r="E258" s="41" t="str">
        <f>"14"</f>
        <v>14</v>
      </c>
      <c r="F258" s="42" t="s">
        <v>26</v>
      </c>
      <c r="G258" s="42">
        <v>85.5</v>
      </c>
      <c r="H258" s="43">
        <v>71.25</v>
      </c>
      <c r="I258" s="42">
        <v>96.5</v>
      </c>
      <c r="J258" s="43">
        <v>80.4166666666667</v>
      </c>
      <c r="K258" s="42"/>
      <c r="L258" s="43">
        <v>75.8333333333333</v>
      </c>
    </row>
    <row r="259" ht="14.25" customHeight="1" spans="1:12">
      <c r="A259" s="39">
        <v>4</v>
      </c>
      <c r="B259" s="40" t="str">
        <f t="shared" si="22"/>
        <v>20240313</v>
      </c>
      <c r="C259" s="41" t="str">
        <f>"2420208821"</f>
        <v>2420208821</v>
      </c>
      <c r="D259" s="41" t="str">
        <f t="shared" si="23"/>
        <v>088</v>
      </c>
      <c r="E259" s="41" t="str">
        <f>"21"</f>
        <v>21</v>
      </c>
      <c r="F259" s="42" t="s">
        <v>26</v>
      </c>
      <c r="G259" s="42">
        <v>80.5</v>
      </c>
      <c r="H259" s="43">
        <v>67.0833333333333</v>
      </c>
      <c r="I259" s="42">
        <v>100.5</v>
      </c>
      <c r="J259" s="43">
        <v>83.75</v>
      </c>
      <c r="K259" s="42"/>
      <c r="L259" s="43">
        <v>75.4166666666667</v>
      </c>
    </row>
    <row r="260" ht="14.25" customHeight="1" spans="1:12">
      <c r="A260" s="39">
        <v>5</v>
      </c>
      <c r="B260" s="40" t="str">
        <f t="shared" si="22"/>
        <v>20240313</v>
      </c>
      <c r="C260" s="41" t="str">
        <f>"2420208918"</f>
        <v>2420208918</v>
      </c>
      <c r="D260" s="41" t="str">
        <f>"089"</f>
        <v>089</v>
      </c>
      <c r="E260" s="41" t="str">
        <f>"18"</f>
        <v>18</v>
      </c>
      <c r="F260" s="42" t="s">
        <v>26</v>
      </c>
      <c r="G260" s="42">
        <v>88.5</v>
      </c>
      <c r="H260" s="43">
        <v>73.75</v>
      </c>
      <c r="I260" s="42">
        <v>92</v>
      </c>
      <c r="J260" s="43">
        <v>76.6666666666667</v>
      </c>
      <c r="K260" s="42"/>
      <c r="L260" s="43">
        <v>75.2083333333333</v>
      </c>
    </row>
    <row r="261" ht="14.25" customHeight="1" spans="1:12">
      <c r="A261" s="39">
        <v>6</v>
      </c>
      <c r="B261" s="40" t="str">
        <f t="shared" si="22"/>
        <v>20240313</v>
      </c>
      <c r="C261" s="41" t="str">
        <f>"2420208812"</f>
        <v>2420208812</v>
      </c>
      <c r="D261" s="41" t="str">
        <f t="shared" si="23"/>
        <v>088</v>
      </c>
      <c r="E261" s="41" t="str">
        <f>"12"</f>
        <v>12</v>
      </c>
      <c r="F261" s="42" t="s">
        <v>26</v>
      </c>
      <c r="G261" s="42">
        <v>75.5</v>
      </c>
      <c r="H261" s="43">
        <v>62.9166666666667</v>
      </c>
      <c r="I261" s="42">
        <v>104.5</v>
      </c>
      <c r="J261" s="43">
        <v>87.0833333333333</v>
      </c>
      <c r="K261" s="42"/>
      <c r="L261" s="43">
        <v>75</v>
      </c>
    </row>
    <row r="262" ht="14.25" customHeight="1" spans="1:12">
      <c r="A262" s="39">
        <v>7</v>
      </c>
      <c r="B262" s="40" t="str">
        <f t="shared" si="22"/>
        <v>20240313</v>
      </c>
      <c r="C262" s="41" t="str">
        <f>"2420208808"</f>
        <v>2420208808</v>
      </c>
      <c r="D262" s="41" t="str">
        <f t="shared" si="23"/>
        <v>088</v>
      </c>
      <c r="E262" s="41" t="str">
        <f>"08"</f>
        <v>08</v>
      </c>
      <c r="F262" s="42" t="s">
        <v>26</v>
      </c>
      <c r="G262" s="42">
        <v>86</v>
      </c>
      <c r="H262" s="43">
        <v>71.6666666666667</v>
      </c>
      <c r="I262" s="42">
        <v>93.5</v>
      </c>
      <c r="J262" s="43">
        <v>77.9166666666667</v>
      </c>
      <c r="K262" s="42"/>
      <c r="L262" s="43">
        <v>74.7916666666667</v>
      </c>
    </row>
    <row r="263" ht="14.25" customHeight="1" spans="1:12">
      <c r="A263" s="39">
        <v>8</v>
      </c>
      <c r="B263" s="40" t="str">
        <f t="shared" si="22"/>
        <v>20240313</v>
      </c>
      <c r="C263" s="41" t="str">
        <f>"2420108705"</f>
        <v>2420108705</v>
      </c>
      <c r="D263" s="41" t="str">
        <f t="shared" ref="D263:D269" si="24">"087"</f>
        <v>087</v>
      </c>
      <c r="E263" s="41" t="str">
        <f>"05"</f>
        <v>05</v>
      </c>
      <c r="F263" s="42" t="s">
        <v>26</v>
      </c>
      <c r="G263" s="42">
        <v>82</v>
      </c>
      <c r="H263" s="43">
        <v>68.3333333333333</v>
      </c>
      <c r="I263" s="42">
        <v>91.5</v>
      </c>
      <c r="J263" s="43">
        <v>76.25</v>
      </c>
      <c r="K263" s="42"/>
      <c r="L263" s="43">
        <v>72.2916666666667</v>
      </c>
    </row>
    <row r="264" ht="14.25" customHeight="1" spans="1:12">
      <c r="A264" s="39">
        <v>9</v>
      </c>
      <c r="B264" s="40" t="str">
        <f t="shared" si="22"/>
        <v>20240313</v>
      </c>
      <c r="C264" s="41" t="str">
        <f>"2420208826"</f>
        <v>2420208826</v>
      </c>
      <c r="D264" s="41" t="str">
        <f>"088"</f>
        <v>088</v>
      </c>
      <c r="E264" s="41" t="str">
        <f>"26"</f>
        <v>26</v>
      </c>
      <c r="F264" s="42" t="s">
        <v>26</v>
      </c>
      <c r="G264" s="42">
        <v>75.5</v>
      </c>
      <c r="H264" s="43">
        <v>62.9166666666667</v>
      </c>
      <c r="I264" s="42">
        <v>97.5</v>
      </c>
      <c r="J264" s="43">
        <v>81.25</v>
      </c>
      <c r="K264" s="42"/>
      <c r="L264" s="43">
        <v>72.0833333333333</v>
      </c>
    </row>
    <row r="265" ht="14.25" customHeight="1" spans="1:12">
      <c r="A265" s="39">
        <v>10</v>
      </c>
      <c r="B265" s="40" t="str">
        <f t="shared" si="22"/>
        <v>20240313</v>
      </c>
      <c r="C265" s="41" t="str">
        <f>"2420208926"</f>
        <v>2420208926</v>
      </c>
      <c r="D265" s="41" t="str">
        <f>"089"</f>
        <v>089</v>
      </c>
      <c r="E265" s="41" t="str">
        <f>"26"</f>
        <v>26</v>
      </c>
      <c r="F265" s="42" t="s">
        <v>26</v>
      </c>
      <c r="G265" s="42">
        <v>77</v>
      </c>
      <c r="H265" s="43">
        <v>64.1666666666667</v>
      </c>
      <c r="I265" s="42">
        <v>95</v>
      </c>
      <c r="J265" s="43">
        <v>79.1666666666667</v>
      </c>
      <c r="K265" s="42"/>
      <c r="L265" s="43">
        <v>71.6666666666667</v>
      </c>
    </row>
    <row r="266" ht="14.25" customHeight="1" spans="1:12">
      <c r="A266" s="39">
        <v>11</v>
      </c>
      <c r="B266" s="40" t="str">
        <f t="shared" si="22"/>
        <v>20240313</v>
      </c>
      <c r="C266" s="41" t="str">
        <f>"2420208903"</f>
        <v>2420208903</v>
      </c>
      <c r="D266" s="41" t="str">
        <f>"089"</f>
        <v>089</v>
      </c>
      <c r="E266" s="41" t="str">
        <f>"03"</f>
        <v>03</v>
      </c>
      <c r="F266" s="42" t="s">
        <v>26</v>
      </c>
      <c r="G266" s="42">
        <v>71</v>
      </c>
      <c r="H266" s="43">
        <v>59.1666666666667</v>
      </c>
      <c r="I266" s="42">
        <v>100.5</v>
      </c>
      <c r="J266" s="43">
        <v>83.75</v>
      </c>
      <c r="K266" s="42"/>
      <c r="L266" s="43">
        <v>71.4583333333333</v>
      </c>
    </row>
    <row r="267" ht="14.25" customHeight="1" spans="1:12">
      <c r="A267" s="39">
        <v>12</v>
      </c>
      <c r="B267" s="40" t="str">
        <f t="shared" si="22"/>
        <v>20240313</v>
      </c>
      <c r="C267" s="41" t="str">
        <f>"2420108718"</f>
        <v>2420108718</v>
      </c>
      <c r="D267" s="41" t="str">
        <f t="shared" si="24"/>
        <v>087</v>
      </c>
      <c r="E267" s="41" t="str">
        <f>"18"</f>
        <v>18</v>
      </c>
      <c r="F267" s="42" t="s">
        <v>26</v>
      </c>
      <c r="G267" s="42">
        <v>66</v>
      </c>
      <c r="H267" s="43">
        <v>55</v>
      </c>
      <c r="I267" s="42">
        <v>103.5</v>
      </c>
      <c r="J267" s="43">
        <v>86.25</v>
      </c>
      <c r="K267" s="42"/>
      <c r="L267" s="43">
        <v>70.625</v>
      </c>
    </row>
    <row r="268" ht="14.25" customHeight="1" spans="1:12">
      <c r="A268" s="39">
        <v>13</v>
      </c>
      <c r="B268" s="40" t="str">
        <f t="shared" si="22"/>
        <v>20240313</v>
      </c>
      <c r="C268" s="41" t="str">
        <f>"2420108712"</f>
        <v>2420108712</v>
      </c>
      <c r="D268" s="41" t="str">
        <f t="shared" si="24"/>
        <v>087</v>
      </c>
      <c r="E268" s="41" t="str">
        <f>"12"</f>
        <v>12</v>
      </c>
      <c r="F268" s="42" t="s">
        <v>26</v>
      </c>
      <c r="G268" s="42">
        <v>76.5</v>
      </c>
      <c r="H268" s="43">
        <v>63.75</v>
      </c>
      <c r="I268" s="42">
        <v>92.5</v>
      </c>
      <c r="J268" s="43">
        <v>77.0833333333333</v>
      </c>
      <c r="K268" s="42"/>
      <c r="L268" s="43">
        <v>70.4166666666667</v>
      </c>
    </row>
    <row r="269" ht="14.25" customHeight="1" spans="1:12">
      <c r="A269" s="39">
        <v>14</v>
      </c>
      <c r="B269" s="40" t="str">
        <f t="shared" si="22"/>
        <v>20240313</v>
      </c>
      <c r="C269" s="41" t="str">
        <f>"2420108728"</f>
        <v>2420108728</v>
      </c>
      <c r="D269" s="41" t="str">
        <f t="shared" si="24"/>
        <v>087</v>
      </c>
      <c r="E269" s="41" t="str">
        <f>"28"</f>
        <v>28</v>
      </c>
      <c r="F269" s="42" t="s">
        <v>26</v>
      </c>
      <c r="G269" s="42">
        <v>89</v>
      </c>
      <c r="H269" s="43">
        <v>74.1666666666667</v>
      </c>
      <c r="I269" s="42">
        <v>80</v>
      </c>
      <c r="J269" s="43">
        <v>66.6666666666667</v>
      </c>
      <c r="K269" s="42"/>
      <c r="L269" s="43">
        <v>70.4166666666667</v>
      </c>
    </row>
    <row r="270" ht="14.25" customHeight="1" spans="1:12">
      <c r="A270" s="39">
        <v>15</v>
      </c>
      <c r="B270" s="40" t="str">
        <f t="shared" si="22"/>
        <v>20240313</v>
      </c>
      <c r="C270" s="41" t="str">
        <f>"2420209106"</f>
        <v>2420209106</v>
      </c>
      <c r="D270" s="41" t="str">
        <f>"091"</f>
        <v>091</v>
      </c>
      <c r="E270" s="41" t="str">
        <f>"06"</f>
        <v>06</v>
      </c>
      <c r="F270" s="42" t="s">
        <v>26</v>
      </c>
      <c r="G270" s="42">
        <v>90.5</v>
      </c>
      <c r="H270" s="43">
        <v>75.4166666666667</v>
      </c>
      <c r="I270" s="42">
        <v>78</v>
      </c>
      <c r="J270" s="43">
        <v>65</v>
      </c>
      <c r="K270" s="42"/>
      <c r="L270" s="43">
        <v>70.2083333333333</v>
      </c>
    </row>
    <row r="271" ht="14.25" customHeight="1" spans="1:12">
      <c r="A271" s="39">
        <v>16</v>
      </c>
      <c r="B271" s="40" t="str">
        <f t="shared" si="22"/>
        <v>20240313</v>
      </c>
      <c r="C271" s="41" t="str">
        <f>"2420209025"</f>
        <v>2420209025</v>
      </c>
      <c r="D271" s="41" t="str">
        <f>"090"</f>
        <v>090</v>
      </c>
      <c r="E271" s="41" t="str">
        <f>"25"</f>
        <v>25</v>
      </c>
      <c r="F271" s="42" t="s">
        <v>26</v>
      </c>
      <c r="G271" s="42">
        <v>76</v>
      </c>
      <c r="H271" s="43">
        <v>63.3333333333333</v>
      </c>
      <c r="I271" s="42">
        <v>91.5</v>
      </c>
      <c r="J271" s="43">
        <v>76.25</v>
      </c>
      <c r="K271" s="42"/>
      <c r="L271" s="43">
        <v>69.7916666666667</v>
      </c>
    </row>
    <row r="272" ht="14.25" customHeight="1" spans="1:12">
      <c r="A272" s="39">
        <v>17</v>
      </c>
      <c r="B272" s="40" t="str">
        <f t="shared" si="22"/>
        <v>20240313</v>
      </c>
      <c r="C272" s="41" t="str">
        <f>"2420208807"</f>
        <v>2420208807</v>
      </c>
      <c r="D272" s="41" t="str">
        <f>"088"</f>
        <v>088</v>
      </c>
      <c r="E272" s="41" t="str">
        <f>"07"</f>
        <v>07</v>
      </c>
      <c r="F272" s="42" t="s">
        <v>26</v>
      </c>
      <c r="G272" s="42">
        <v>74</v>
      </c>
      <c r="H272" s="43">
        <v>61.6666666666667</v>
      </c>
      <c r="I272" s="42">
        <v>93</v>
      </c>
      <c r="J272" s="43">
        <v>77.5</v>
      </c>
      <c r="K272" s="42"/>
      <c r="L272" s="43">
        <v>69.5833333333333</v>
      </c>
    </row>
    <row r="273" ht="14.25" customHeight="1" spans="1:12">
      <c r="A273" s="39">
        <v>18</v>
      </c>
      <c r="B273" s="40" t="str">
        <f t="shared" si="22"/>
        <v>20240313</v>
      </c>
      <c r="C273" s="41" t="str">
        <f>"2420209019"</f>
        <v>2420209019</v>
      </c>
      <c r="D273" s="41" t="str">
        <f>"090"</f>
        <v>090</v>
      </c>
      <c r="E273" s="41" t="str">
        <f>"19"</f>
        <v>19</v>
      </c>
      <c r="F273" s="42" t="s">
        <v>26</v>
      </c>
      <c r="G273" s="42">
        <v>82.5</v>
      </c>
      <c r="H273" s="43">
        <v>68.75</v>
      </c>
      <c r="I273" s="42">
        <v>84</v>
      </c>
      <c r="J273" s="43">
        <v>70</v>
      </c>
      <c r="K273" s="42"/>
      <c r="L273" s="43">
        <v>69.375</v>
      </c>
    </row>
    <row r="274" ht="14.25" customHeight="1" spans="1:12">
      <c r="A274" s="19">
        <v>1</v>
      </c>
      <c r="B274" s="20" t="str">
        <f t="shared" ref="B274:B291" si="25">"20240314"</f>
        <v>20240314</v>
      </c>
      <c r="C274" s="21" t="str">
        <f>"2420209208"</f>
        <v>2420209208</v>
      </c>
      <c r="D274" s="21" t="str">
        <f>"092"</f>
        <v>092</v>
      </c>
      <c r="E274" s="21" t="str">
        <f>"08"</f>
        <v>08</v>
      </c>
      <c r="F274" s="22" t="s">
        <v>27</v>
      </c>
      <c r="G274" s="22">
        <v>82.5</v>
      </c>
      <c r="H274" s="23">
        <v>68.75</v>
      </c>
      <c r="I274" s="22">
        <v>101.5</v>
      </c>
      <c r="J274" s="23">
        <v>84.5833333333333</v>
      </c>
      <c r="K274" s="22"/>
      <c r="L274" s="23">
        <v>76.6666666666667</v>
      </c>
    </row>
    <row r="275" ht="14.25" customHeight="1" spans="1:12">
      <c r="A275" s="19">
        <v>2</v>
      </c>
      <c r="B275" s="20" t="str">
        <f t="shared" si="25"/>
        <v>20240314</v>
      </c>
      <c r="C275" s="21" t="str">
        <f>"2420209301"</f>
        <v>2420209301</v>
      </c>
      <c r="D275" s="21" t="str">
        <f t="shared" ref="D275:D281" si="26">"093"</f>
        <v>093</v>
      </c>
      <c r="E275" s="21" t="str">
        <f>"01"</f>
        <v>01</v>
      </c>
      <c r="F275" s="22" t="s">
        <v>27</v>
      </c>
      <c r="G275" s="22">
        <v>84.5</v>
      </c>
      <c r="H275" s="23">
        <v>70.4166666666667</v>
      </c>
      <c r="I275" s="22">
        <v>94</v>
      </c>
      <c r="J275" s="23">
        <v>78.3333333333333</v>
      </c>
      <c r="K275" s="22"/>
      <c r="L275" s="23">
        <v>74.375</v>
      </c>
    </row>
    <row r="276" ht="14.25" customHeight="1" spans="1:12">
      <c r="A276" s="19">
        <v>3</v>
      </c>
      <c r="B276" s="20" t="str">
        <f t="shared" si="25"/>
        <v>20240314</v>
      </c>
      <c r="C276" s="21" t="str">
        <f>"2420209314"</f>
        <v>2420209314</v>
      </c>
      <c r="D276" s="21" t="str">
        <f t="shared" si="26"/>
        <v>093</v>
      </c>
      <c r="E276" s="21" t="str">
        <f>"14"</f>
        <v>14</v>
      </c>
      <c r="F276" s="22" t="s">
        <v>27</v>
      </c>
      <c r="G276" s="22">
        <v>80.5</v>
      </c>
      <c r="H276" s="23">
        <v>67.0833333333333</v>
      </c>
      <c r="I276" s="22">
        <v>98</v>
      </c>
      <c r="J276" s="23">
        <v>81.6666666666667</v>
      </c>
      <c r="K276" s="22"/>
      <c r="L276" s="23">
        <v>74.375</v>
      </c>
    </row>
    <row r="277" ht="14.25" customHeight="1" spans="1:12">
      <c r="A277" s="19">
        <v>4</v>
      </c>
      <c r="B277" s="20" t="str">
        <f t="shared" si="25"/>
        <v>20240314</v>
      </c>
      <c r="C277" s="21" t="str">
        <f>"2420209411"</f>
        <v>2420209411</v>
      </c>
      <c r="D277" s="21" t="str">
        <f>"094"</f>
        <v>094</v>
      </c>
      <c r="E277" s="21" t="str">
        <f>"11"</f>
        <v>11</v>
      </c>
      <c r="F277" s="22" t="s">
        <v>27</v>
      </c>
      <c r="G277" s="22">
        <v>86</v>
      </c>
      <c r="H277" s="23">
        <v>71.6666666666667</v>
      </c>
      <c r="I277" s="22">
        <v>92.5</v>
      </c>
      <c r="J277" s="23">
        <v>77.0833333333333</v>
      </c>
      <c r="K277" s="22"/>
      <c r="L277" s="23">
        <v>74.375</v>
      </c>
    </row>
    <row r="278" ht="14.25" customHeight="1" spans="1:12">
      <c r="A278" s="19">
        <v>5</v>
      </c>
      <c r="B278" s="20" t="str">
        <f t="shared" si="25"/>
        <v>20240314</v>
      </c>
      <c r="C278" s="21" t="str">
        <f>"2420209703"</f>
        <v>2420209703</v>
      </c>
      <c r="D278" s="21" t="str">
        <f>"097"</f>
        <v>097</v>
      </c>
      <c r="E278" s="21" t="str">
        <f>"03"</f>
        <v>03</v>
      </c>
      <c r="F278" s="22" t="s">
        <v>27</v>
      </c>
      <c r="G278" s="22">
        <v>82</v>
      </c>
      <c r="H278" s="23">
        <v>68.3333333333333</v>
      </c>
      <c r="I278" s="22">
        <v>92</v>
      </c>
      <c r="J278" s="23">
        <v>76.6666666666667</v>
      </c>
      <c r="K278" s="22"/>
      <c r="L278" s="23">
        <v>72.5</v>
      </c>
    </row>
    <row r="279" ht="14.25" customHeight="1" spans="1:12">
      <c r="A279" s="19">
        <v>6</v>
      </c>
      <c r="B279" s="20" t="str">
        <f t="shared" si="25"/>
        <v>20240314</v>
      </c>
      <c r="C279" s="21" t="str">
        <f>"2420209311"</f>
        <v>2420209311</v>
      </c>
      <c r="D279" s="21" t="str">
        <f t="shared" si="26"/>
        <v>093</v>
      </c>
      <c r="E279" s="21" t="str">
        <f>"11"</f>
        <v>11</v>
      </c>
      <c r="F279" s="22" t="s">
        <v>27</v>
      </c>
      <c r="G279" s="22">
        <v>78.5</v>
      </c>
      <c r="H279" s="23">
        <v>65.4166666666667</v>
      </c>
      <c r="I279" s="22">
        <v>94</v>
      </c>
      <c r="J279" s="23">
        <v>78.3333333333333</v>
      </c>
      <c r="K279" s="22"/>
      <c r="L279" s="23">
        <v>71.875</v>
      </c>
    </row>
    <row r="280" ht="14.25" customHeight="1" spans="1:12">
      <c r="A280" s="19">
        <v>7</v>
      </c>
      <c r="B280" s="20" t="str">
        <f t="shared" si="25"/>
        <v>20240314</v>
      </c>
      <c r="C280" s="21" t="str">
        <f>"2420209305"</f>
        <v>2420209305</v>
      </c>
      <c r="D280" s="21" t="str">
        <f t="shared" si="26"/>
        <v>093</v>
      </c>
      <c r="E280" s="21" t="str">
        <f t="shared" ref="E280:E284" si="27">"05"</f>
        <v>05</v>
      </c>
      <c r="F280" s="22" t="s">
        <v>27</v>
      </c>
      <c r="G280" s="22">
        <v>85</v>
      </c>
      <c r="H280" s="23">
        <v>70.8333333333333</v>
      </c>
      <c r="I280" s="22">
        <v>87</v>
      </c>
      <c r="J280" s="23">
        <v>72.5</v>
      </c>
      <c r="K280" s="22"/>
      <c r="L280" s="23">
        <v>71.6666666666667</v>
      </c>
    </row>
    <row r="281" ht="14.25" customHeight="1" spans="1:12">
      <c r="A281" s="19">
        <v>8</v>
      </c>
      <c r="B281" s="20" t="str">
        <f t="shared" si="25"/>
        <v>20240314</v>
      </c>
      <c r="C281" s="21" t="str">
        <f>"2420209328"</f>
        <v>2420209328</v>
      </c>
      <c r="D281" s="21" t="str">
        <f t="shared" si="26"/>
        <v>093</v>
      </c>
      <c r="E281" s="21" t="str">
        <f>"28"</f>
        <v>28</v>
      </c>
      <c r="F281" s="22" t="s">
        <v>27</v>
      </c>
      <c r="G281" s="22">
        <v>78</v>
      </c>
      <c r="H281" s="23">
        <v>65</v>
      </c>
      <c r="I281" s="22">
        <v>94</v>
      </c>
      <c r="J281" s="23">
        <v>78.3333333333333</v>
      </c>
      <c r="K281" s="22"/>
      <c r="L281" s="23">
        <v>71.6666666666667</v>
      </c>
    </row>
    <row r="282" ht="14.25" customHeight="1" spans="1:12">
      <c r="A282" s="19">
        <v>9</v>
      </c>
      <c r="B282" s="20" t="str">
        <f t="shared" si="25"/>
        <v>20240314</v>
      </c>
      <c r="C282" s="21" t="str">
        <f>"2420209205"</f>
        <v>2420209205</v>
      </c>
      <c r="D282" s="21" t="str">
        <f>"092"</f>
        <v>092</v>
      </c>
      <c r="E282" s="21" t="str">
        <f t="shared" si="27"/>
        <v>05</v>
      </c>
      <c r="F282" s="22" t="s">
        <v>27</v>
      </c>
      <c r="G282" s="22">
        <v>87</v>
      </c>
      <c r="H282" s="23">
        <v>72.5</v>
      </c>
      <c r="I282" s="22">
        <v>84.5</v>
      </c>
      <c r="J282" s="23">
        <v>70.4166666666667</v>
      </c>
      <c r="K282" s="22"/>
      <c r="L282" s="23">
        <v>71.4583333333333</v>
      </c>
    </row>
    <row r="283" ht="14.25" customHeight="1" spans="1:12">
      <c r="A283" s="19">
        <v>10</v>
      </c>
      <c r="B283" s="20" t="str">
        <f t="shared" si="25"/>
        <v>20240314</v>
      </c>
      <c r="C283" s="21" t="str">
        <f>"2420209416"</f>
        <v>2420209416</v>
      </c>
      <c r="D283" s="21" t="str">
        <f t="shared" ref="D283:D286" si="28">"094"</f>
        <v>094</v>
      </c>
      <c r="E283" s="21" t="str">
        <f>"16"</f>
        <v>16</v>
      </c>
      <c r="F283" s="22" t="s">
        <v>27</v>
      </c>
      <c r="G283" s="22">
        <v>81.5</v>
      </c>
      <c r="H283" s="23">
        <v>67.9166666666667</v>
      </c>
      <c r="I283" s="22">
        <v>90</v>
      </c>
      <c r="J283" s="23">
        <v>75</v>
      </c>
      <c r="K283" s="22"/>
      <c r="L283" s="23">
        <v>71.4583333333333</v>
      </c>
    </row>
    <row r="284" ht="14.25" customHeight="1" spans="1:12">
      <c r="A284" s="19">
        <v>11</v>
      </c>
      <c r="B284" s="20" t="str">
        <f t="shared" si="25"/>
        <v>20240314</v>
      </c>
      <c r="C284" s="21" t="str">
        <f>"2420209705"</f>
        <v>2420209705</v>
      </c>
      <c r="D284" s="21" t="str">
        <f>"097"</f>
        <v>097</v>
      </c>
      <c r="E284" s="21" t="str">
        <f t="shared" si="27"/>
        <v>05</v>
      </c>
      <c r="F284" s="22" t="s">
        <v>27</v>
      </c>
      <c r="G284" s="22">
        <v>75</v>
      </c>
      <c r="H284" s="23">
        <v>62.5</v>
      </c>
      <c r="I284" s="22">
        <v>96</v>
      </c>
      <c r="J284" s="23">
        <v>80</v>
      </c>
      <c r="K284" s="22"/>
      <c r="L284" s="23">
        <v>71.25</v>
      </c>
    </row>
    <row r="285" ht="14.25" customHeight="1" spans="1:12">
      <c r="A285" s="19">
        <v>12</v>
      </c>
      <c r="B285" s="20" t="str">
        <f t="shared" si="25"/>
        <v>20240314</v>
      </c>
      <c r="C285" s="21" t="str">
        <f>"2420209413"</f>
        <v>2420209413</v>
      </c>
      <c r="D285" s="21" t="str">
        <f t="shared" si="28"/>
        <v>094</v>
      </c>
      <c r="E285" s="21" t="str">
        <f>"13"</f>
        <v>13</v>
      </c>
      <c r="F285" s="22" t="s">
        <v>27</v>
      </c>
      <c r="G285" s="22">
        <v>76</v>
      </c>
      <c r="H285" s="23">
        <v>63.3333333333333</v>
      </c>
      <c r="I285" s="22">
        <v>94.5</v>
      </c>
      <c r="J285" s="23">
        <v>78.75</v>
      </c>
      <c r="K285" s="22"/>
      <c r="L285" s="23">
        <v>71.0416666666667</v>
      </c>
    </row>
    <row r="286" ht="14.25" customHeight="1" spans="1:12">
      <c r="A286" s="19">
        <v>13</v>
      </c>
      <c r="B286" s="20" t="str">
        <f t="shared" si="25"/>
        <v>20240314</v>
      </c>
      <c r="C286" s="21" t="str">
        <f>"2420209418"</f>
        <v>2420209418</v>
      </c>
      <c r="D286" s="21" t="str">
        <f t="shared" si="28"/>
        <v>094</v>
      </c>
      <c r="E286" s="21" t="str">
        <f t="shared" ref="E286:E291" si="29">"18"</f>
        <v>18</v>
      </c>
      <c r="F286" s="22" t="s">
        <v>27</v>
      </c>
      <c r="G286" s="22">
        <v>82</v>
      </c>
      <c r="H286" s="23">
        <v>68.3333333333333</v>
      </c>
      <c r="I286" s="22">
        <v>87.5</v>
      </c>
      <c r="J286" s="23">
        <v>72.9166666666667</v>
      </c>
      <c r="K286" s="22"/>
      <c r="L286" s="23">
        <v>70.625</v>
      </c>
    </row>
    <row r="287" ht="14.25" customHeight="1" spans="1:12">
      <c r="A287" s="19">
        <v>14</v>
      </c>
      <c r="B287" s="20" t="str">
        <f t="shared" si="25"/>
        <v>20240314</v>
      </c>
      <c r="C287" s="21" t="str">
        <f>"2420209518"</f>
        <v>2420209518</v>
      </c>
      <c r="D287" s="21" t="str">
        <f>"095"</f>
        <v>095</v>
      </c>
      <c r="E287" s="21" t="str">
        <f t="shared" si="29"/>
        <v>18</v>
      </c>
      <c r="F287" s="22" t="s">
        <v>27</v>
      </c>
      <c r="G287" s="22">
        <v>72.5</v>
      </c>
      <c r="H287" s="23">
        <v>60.4166666666667</v>
      </c>
      <c r="I287" s="22">
        <v>97</v>
      </c>
      <c r="J287" s="23">
        <v>80.8333333333333</v>
      </c>
      <c r="K287" s="22"/>
      <c r="L287" s="23">
        <v>70.625</v>
      </c>
    </row>
    <row r="288" ht="14.25" customHeight="1" spans="1:12">
      <c r="A288" s="19">
        <v>15</v>
      </c>
      <c r="B288" s="20" t="str">
        <f t="shared" si="25"/>
        <v>20240314</v>
      </c>
      <c r="C288" s="21" t="str">
        <f>"2420209326"</f>
        <v>2420209326</v>
      </c>
      <c r="D288" s="21" t="str">
        <f>"093"</f>
        <v>093</v>
      </c>
      <c r="E288" s="21" t="str">
        <f>"26"</f>
        <v>26</v>
      </c>
      <c r="F288" s="22" t="s">
        <v>27</v>
      </c>
      <c r="G288" s="22">
        <v>85</v>
      </c>
      <c r="H288" s="23">
        <v>70.8333333333333</v>
      </c>
      <c r="I288" s="22">
        <v>83.5</v>
      </c>
      <c r="J288" s="23">
        <v>69.5833333333333</v>
      </c>
      <c r="K288" s="22"/>
      <c r="L288" s="23">
        <v>70.2083333333333</v>
      </c>
    </row>
    <row r="289" ht="14.25" customHeight="1" spans="1:12">
      <c r="A289" s="19">
        <v>16</v>
      </c>
      <c r="B289" s="20" t="str">
        <f t="shared" si="25"/>
        <v>20240314</v>
      </c>
      <c r="C289" s="21" t="str">
        <f>"2420209225"</f>
        <v>2420209225</v>
      </c>
      <c r="D289" s="21" t="str">
        <f>"092"</f>
        <v>092</v>
      </c>
      <c r="E289" s="21" t="str">
        <f>"25"</f>
        <v>25</v>
      </c>
      <c r="F289" s="22" t="s">
        <v>27</v>
      </c>
      <c r="G289" s="22">
        <v>91</v>
      </c>
      <c r="H289" s="23">
        <v>75.8333333333333</v>
      </c>
      <c r="I289" s="22">
        <v>77</v>
      </c>
      <c r="J289" s="23">
        <v>64.1666666666667</v>
      </c>
      <c r="K289" s="22"/>
      <c r="L289" s="23">
        <v>70</v>
      </c>
    </row>
    <row r="290" ht="14.25" customHeight="1" spans="1:12">
      <c r="A290" s="19">
        <v>17</v>
      </c>
      <c r="B290" s="20" t="str">
        <f t="shared" si="25"/>
        <v>20240314</v>
      </c>
      <c r="C290" s="21" t="str">
        <f>"2420209626"</f>
        <v>2420209626</v>
      </c>
      <c r="D290" s="21" t="str">
        <f>"096"</f>
        <v>096</v>
      </c>
      <c r="E290" s="21" t="str">
        <f>"26"</f>
        <v>26</v>
      </c>
      <c r="F290" s="22" t="s">
        <v>27</v>
      </c>
      <c r="G290" s="22">
        <v>78</v>
      </c>
      <c r="H290" s="23">
        <v>65</v>
      </c>
      <c r="I290" s="22">
        <v>90</v>
      </c>
      <c r="J290" s="23">
        <v>75</v>
      </c>
      <c r="K290" s="22"/>
      <c r="L290" s="23">
        <v>70</v>
      </c>
    </row>
    <row r="291" ht="14.25" customHeight="1" spans="1:12">
      <c r="A291" s="19">
        <v>18</v>
      </c>
      <c r="B291" s="20" t="str">
        <f t="shared" si="25"/>
        <v>20240314</v>
      </c>
      <c r="C291" s="21" t="str">
        <f>"2420209218"</f>
        <v>2420209218</v>
      </c>
      <c r="D291" s="21" t="str">
        <f>"092"</f>
        <v>092</v>
      </c>
      <c r="E291" s="21" t="str">
        <f t="shared" si="29"/>
        <v>18</v>
      </c>
      <c r="F291" s="22" t="s">
        <v>27</v>
      </c>
      <c r="G291" s="22">
        <v>82.5</v>
      </c>
      <c r="H291" s="23">
        <v>68.75</v>
      </c>
      <c r="I291" s="22">
        <v>85</v>
      </c>
      <c r="J291" s="23">
        <v>70.8333333333333</v>
      </c>
      <c r="K291" s="22"/>
      <c r="L291" s="23">
        <v>69.7916666666667</v>
      </c>
    </row>
    <row r="292" ht="14.25" customHeight="1" spans="1:12">
      <c r="A292" s="24">
        <v>1</v>
      </c>
      <c r="B292" s="25" t="str">
        <f t="shared" ref="B292:B309" si="30">"20240315"</f>
        <v>20240315</v>
      </c>
      <c r="C292" s="26" t="str">
        <f>"2420210303"</f>
        <v>2420210303</v>
      </c>
      <c r="D292" s="26" t="str">
        <f t="shared" ref="D292:D294" si="31">"103"</f>
        <v>103</v>
      </c>
      <c r="E292" s="26" t="str">
        <f>"03"</f>
        <v>03</v>
      </c>
      <c r="F292" s="27" t="s">
        <v>28</v>
      </c>
      <c r="G292" s="27">
        <v>99.5</v>
      </c>
      <c r="H292" s="28">
        <v>82.9166666666667</v>
      </c>
      <c r="I292" s="27">
        <v>89</v>
      </c>
      <c r="J292" s="28">
        <v>74.1666666666667</v>
      </c>
      <c r="K292" s="27"/>
      <c r="L292" s="28">
        <v>78.5416666666667</v>
      </c>
    </row>
    <row r="293" ht="14.25" customHeight="1" spans="1:12">
      <c r="A293" s="24">
        <v>2</v>
      </c>
      <c r="B293" s="25" t="str">
        <f t="shared" si="30"/>
        <v>20240315</v>
      </c>
      <c r="C293" s="26" t="str">
        <f>"2420210315"</f>
        <v>2420210315</v>
      </c>
      <c r="D293" s="26" t="str">
        <f t="shared" si="31"/>
        <v>103</v>
      </c>
      <c r="E293" s="26" t="str">
        <f>"15"</f>
        <v>15</v>
      </c>
      <c r="F293" s="27" t="s">
        <v>28</v>
      </c>
      <c r="G293" s="27">
        <v>80.5</v>
      </c>
      <c r="H293" s="28">
        <v>67.0833333333333</v>
      </c>
      <c r="I293" s="27">
        <v>100.5</v>
      </c>
      <c r="J293" s="28">
        <v>83.75</v>
      </c>
      <c r="K293" s="27"/>
      <c r="L293" s="28">
        <v>75.4166666666667</v>
      </c>
    </row>
    <row r="294" ht="14.25" customHeight="1" spans="1:12">
      <c r="A294" s="24">
        <v>3</v>
      </c>
      <c r="B294" s="25" t="str">
        <f t="shared" si="30"/>
        <v>20240315</v>
      </c>
      <c r="C294" s="26" t="str">
        <f>"2420210305"</f>
        <v>2420210305</v>
      </c>
      <c r="D294" s="26" t="str">
        <f t="shared" si="31"/>
        <v>103</v>
      </c>
      <c r="E294" s="26" t="str">
        <f>"05"</f>
        <v>05</v>
      </c>
      <c r="F294" s="27" t="s">
        <v>28</v>
      </c>
      <c r="G294" s="27">
        <v>88.5</v>
      </c>
      <c r="H294" s="28">
        <v>73.75</v>
      </c>
      <c r="I294" s="27">
        <v>91.5</v>
      </c>
      <c r="J294" s="28">
        <v>76.25</v>
      </c>
      <c r="K294" s="27"/>
      <c r="L294" s="28">
        <v>75</v>
      </c>
    </row>
    <row r="295" ht="14.25" customHeight="1" spans="1:12">
      <c r="A295" s="24">
        <v>4</v>
      </c>
      <c r="B295" s="25" t="str">
        <f t="shared" si="30"/>
        <v>20240315</v>
      </c>
      <c r="C295" s="26" t="str">
        <f>"2420210226"</f>
        <v>2420210226</v>
      </c>
      <c r="D295" s="26" t="str">
        <f>"102"</f>
        <v>102</v>
      </c>
      <c r="E295" s="26" t="str">
        <f>"26"</f>
        <v>26</v>
      </c>
      <c r="F295" s="27" t="s">
        <v>28</v>
      </c>
      <c r="G295" s="27">
        <v>77</v>
      </c>
      <c r="H295" s="28">
        <v>64.1666666666667</v>
      </c>
      <c r="I295" s="27">
        <v>102</v>
      </c>
      <c r="J295" s="28">
        <v>85</v>
      </c>
      <c r="K295" s="27"/>
      <c r="L295" s="28">
        <v>74.5833333333333</v>
      </c>
    </row>
    <row r="296" ht="14.25" customHeight="1" spans="1:12">
      <c r="A296" s="24">
        <v>5</v>
      </c>
      <c r="B296" s="25" t="str">
        <f t="shared" si="30"/>
        <v>20240315</v>
      </c>
      <c r="C296" s="26" t="str">
        <f>"2420210323"</f>
        <v>2420210323</v>
      </c>
      <c r="D296" s="26" t="str">
        <f>"103"</f>
        <v>103</v>
      </c>
      <c r="E296" s="26" t="str">
        <f>"23"</f>
        <v>23</v>
      </c>
      <c r="F296" s="27" t="s">
        <v>28</v>
      </c>
      <c r="G296" s="27">
        <v>94.5</v>
      </c>
      <c r="H296" s="28">
        <v>78.75</v>
      </c>
      <c r="I296" s="27">
        <v>84.5</v>
      </c>
      <c r="J296" s="28">
        <v>70.4166666666667</v>
      </c>
      <c r="K296" s="27"/>
      <c r="L296" s="28">
        <v>74.5833333333333</v>
      </c>
    </row>
    <row r="297" ht="14.25" customHeight="1" spans="1:12">
      <c r="A297" s="24">
        <v>6</v>
      </c>
      <c r="B297" s="25" t="str">
        <f t="shared" si="30"/>
        <v>20240315</v>
      </c>
      <c r="C297" s="26" t="str">
        <f>"2420210107"</f>
        <v>2420210107</v>
      </c>
      <c r="D297" s="26" t="str">
        <f>"101"</f>
        <v>101</v>
      </c>
      <c r="E297" s="26" t="str">
        <f>"07"</f>
        <v>07</v>
      </c>
      <c r="F297" s="27" t="s">
        <v>28</v>
      </c>
      <c r="G297" s="27">
        <v>90</v>
      </c>
      <c r="H297" s="28">
        <v>75</v>
      </c>
      <c r="I297" s="27">
        <v>88</v>
      </c>
      <c r="J297" s="28">
        <v>73.3333333333333</v>
      </c>
      <c r="K297" s="27"/>
      <c r="L297" s="28">
        <v>74.1666666666667</v>
      </c>
    </row>
    <row r="298" ht="14.25" customHeight="1" spans="1:12">
      <c r="A298" s="24">
        <v>7</v>
      </c>
      <c r="B298" s="25" t="str">
        <f t="shared" si="30"/>
        <v>20240315</v>
      </c>
      <c r="C298" s="26" t="str">
        <f>"2420209827"</f>
        <v>2420209827</v>
      </c>
      <c r="D298" s="26" t="str">
        <f>"098"</f>
        <v>098</v>
      </c>
      <c r="E298" s="26" t="str">
        <f>"27"</f>
        <v>27</v>
      </c>
      <c r="F298" s="27" t="s">
        <v>28</v>
      </c>
      <c r="G298" s="27">
        <v>94.5</v>
      </c>
      <c r="H298" s="28">
        <v>78.75</v>
      </c>
      <c r="I298" s="27">
        <v>83</v>
      </c>
      <c r="J298" s="28">
        <v>69.1666666666667</v>
      </c>
      <c r="K298" s="27"/>
      <c r="L298" s="28">
        <v>73.9583333333333</v>
      </c>
    </row>
    <row r="299" ht="14.25" customHeight="1" spans="1:12">
      <c r="A299" s="24">
        <v>8</v>
      </c>
      <c r="B299" s="25" t="str">
        <f t="shared" si="30"/>
        <v>20240315</v>
      </c>
      <c r="C299" s="26" t="str">
        <f>"2420210005"</f>
        <v>2420210005</v>
      </c>
      <c r="D299" s="26" t="str">
        <f t="shared" ref="D299:D302" si="32">"100"</f>
        <v>100</v>
      </c>
      <c r="E299" s="26" t="str">
        <f>"05"</f>
        <v>05</v>
      </c>
      <c r="F299" s="27" t="s">
        <v>28</v>
      </c>
      <c r="G299" s="27">
        <v>78</v>
      </c>
      <c r="H299" s="28">
        <v>65</v>
      </c>
      <c r="I299" s="27">
        <v>97.5</v>
      </c>
      <c r="J299" s="28">
        <v>81.25</v>
      </c>
      <c r="K299" s="27"/>
      <c r="L299" s="28">
        <v>73.125</v>
      </c>
    </row>
    <row r="300" ht="14.25" customHeight="1" spans="1:12">
      <c r="A300" s="24">
        <v>9</v>
      </c>
      <c r="B300" s="25" t="str">
        <f t="shared" si="30"/>
        <v>20240315</v>
      </c>
      <c r="C300" s="26" t="str">
        <f>"2420210008"</f>
        <v>2420210008</v>
      </c>
      <c r="D300" s="26" t="str">
        <f t="shared" si="32"/>
        <v>100</v>
      </c>
      <c r="E300" s="26" t="str">
        <f>"08"</f>
        <v>08</v>
      </c>
      <c r="F300" s="27" t="s">
        <v>28</v>
      </c>
      <c r="G300" s="27">
        <v>81.5</v>
      </c>
      <c r="H300" s="28">
        <v>67.9166666666667</v>
      </c>
      <c r="I300" s="27">
        <v>94</v>
      </c>
      <c r="J300" s="28">
        <v>78.3333333333333</v>
      </c>
      <c r="K300" s="27"/>
      <c r="L300" s="28">
        <v>73.125</v>
      </c>
    </row>
    <row r="301" ht="14.25" customHeight="1" spans="1:12">
      <c r="A301" s="24">
        <v>10</v>
      </c>
      <c r="B301" s="25" t="str">
        <f t="shared" si="30"/>
        <v>20240315</v>
      </c>
      <c r="C301" s="26" t="str">
        <f>"2420210006"</f>
        <v>2420210006</v>
      </c>
      <c r="D301" s="26" t="str">
        <f t="shared" si="32"/>
        <v>100</v>
      </c>
      <c r="E301" s="26" t="str">
        <f>"06"</f>
        <v>06</v>
      </c>
      <c r="F301" s="27" t="s">
        <v>28</v>
      </c>
      <c r="G301" s="27">
        <v>79</v>
      </c>
      <c r="H301" s="28">
        <v>65.8333333333333</v>
      </c>
      <c r="I301" s="27">
        <v>96</v>
      </c>
      <c r="J301" s="28">
        <v>80</v>
      </c>
      <c r="K301" s="27"/>
      <c r="L301" s="28">
        <v>72.9166666666667</v>
      </c>
    </row>
    <row r="302" ht="14.25" customHeight="1" spans="1:12">
      <c r="A302" s="24">
        <v>11</v>
      </c>
      <c r="B302" s="25" t="str">
        <f t="shared" si="30"/>
        <v>20240315</v>
      </c>
      <c r="C302" s="26" t="str">
        <f>"2420210022"</f>
        <v>2420210022</v>
      </c>
      <c r="D302" s="26" t="str">
        <f t="shared" si="32"/>
        <v>100</v>
      </c>
      <c r="E302" s="26" t="str">
        <f>"22"</f>
        <v>22</v>
      </c>
      <c r="F302" s="27" t="s">
        <v>28</v>
      </c>
      <c r="G302" s="27">
        <v>90</v>
      </c>
      <c r="H302" s="28">
        <v>75</v>
      </c>
      <c r="I302" s="27">
        <v>85</v>
      </c>
      <c r="J302" s="28">
        <v>70.8333333333333</v>
      </c>
      <c r="K302" s="27"/>
      <c r="L302" s="28">
        <v>72.9166666666667</v>
      </c>
    </row>
    <row r="303" ht="14.25" customHeight="1" spans="1:12">
      <c r="A303" s="24">
        <v>12</v>
      </c>
      <c r="B303" s="25" t="str">
        <f t="shared" si="30"/>
        <v>20240315</v>
      </c>
      <c r="C303" s="26" t="str">
        <f>"2420209905"</f>
        <v>2420209905</v>
      </c>
      <c r="D303" s="26" t="str">
        <f>"099"</f>
        <v>099</v>
      </c>
      <c r="E303" s="26" t="str">
        <f>"05"</f>
        <v>05</v>
      </c>
      <c r="F303" s="27" t="s">
        <v>28</v>
      </c>
      <c r="G303" s="27">
        <v>89.5</v>
      </c>
      <c r="H303" s="28">
        <v>74.5833333333333</v>
      </c>
      <c r="I303" s="27">
        <v>83.5</v>
      </c>
      <c r="J303" s="28">
        <v>69.5833333333333</v>
      </c>
      <c r="K303" s="27"/>
      <c r="L303" s="28">
        <v>72.0833333333333</v>
      </c>
    </row>
    <row r="304" ht="14.25" customHeight="1" spans="1:12">
      <c r="A304" s="24">
        <v>13</v>
      </c>
      <c r="B304" s="25" t="str">
        <f t="shared" si="30"/>
        <v>20240315</v>
      </c>
      <c r="C304" s="26" t="str">
        <f>"2420209826"</f>
        <v>2420209826</v>
      </c>
      <c r="D304" s="26" t="str">
        <f>"098"</f>
        <v>098</v>
      </c>
      <c r="E304" s="26" t="str">
        <f>"26"</f>
        <v>26</v>
      </c>
      <c r="F304" s="27" t="s">
        <v>28</v>
      </c>
      <c r="G304" s="27">
        <v>69.5</v>
      </c>
      <c r="H304" s="28">
        <v>57.9166666666667</v>
      </c>
      <c r="I304" s="27">
        <v>103</v>
      </c>
      <c r="J304" s="28">
        <v>85.8333333333333</v>
      </c>
      <c r="K304" s="27"/>
      <c r="L304" s="28">
        <v>71.875</v>
      </c>
    </row>
    <row r="305" ht="14.25" customHeight="1" spans="1:12">
      <c r="A305" s="24">
        <v>14</v>
      </c>
      <c r="B305" s="25" t="str">
        <f t="shared" si="30"/>
        <v>20240315</v>
      </c>
      <c r="C305" s="26" t="str">
        <f>"2420210024"</f>
        <v>2420210024</v>
      </c>
      <c r="D305" s="26" t="str">
        <f>"100"</f>
        <v>100</v>
      </c>
      <c r="E305" s="26" t="str">
        <f>"24"</f>
        <v>24</v>
      </c>
      <c r="F305" s="27" t="s">
        <v>28</v>
      </c>
      <c r="G305" s="27">
        <v>90.5</v>
      </c>
      <c r="H305" s="28">
        <v>75.4166666666667</v>
      </c>
      <c r="I305" s="27">
        <v>82</v>
      </c>
      <c r="J305" s="28">
        <v>68.3333333333333</v>
      </c>
      <c r="K305" s="27"/>
      <c r="L305" s="28">
        <v>71.875</v>
      </c>
    </row>
    <row r="306" ht="14.25" customHeight="1" spans="1:12">
      <c r="A306" s="24">
        <v>15</v>
      </c>
      <c r="B306" s="25" t="str">
        <f t="shared" si="30"/>
        <v>20240315</v>
      </c>
      <c r="C306" s="26" t="str">
        <f>"2420210219"</f>
        <v>2420210219</v>
      </c>
      <c r="D306" s="26" t="str">
        <f>"102"</f>
        <v>102</v>
      </c>
      <c r="E306" s="26" t="str">
        <f>"19"</f>
        <v>19</v>
      </c>
      <c r="F306" s="27" t="s">
        <v>28</v>
      </c>
      <c r="G306" s="27">
        <v>86</v>
      </c>
      <c r="H306" s="28">
        <v>71.6666666666667</v>
      </c>
      <c r="I306" s="27">
        <v>86</v>
      </c>
      <c r="J306" s="28">
        <v>71.6666666666667</v>
      </c>
      <c r="K306" s="27"/>
      <c r="L306" s="28">
        <v>71.6666666666667</v>
      </c>
    </row>
    <row r="307" ht="14.25" customHeight="1" spans="1:12">
      <c r="A307" s="24">
        <v>16</v>
      </c>
      <c r="B307" s="25" t="str">
        <f t="shared" si="30"/>
        <v>20240315</v>
      </c>
      <c r="C307" s="26" t="str">
        <f>"2420209825"</f>
        <v>2420209825</v>
      </c>
      <c r="D307" s="26" t="str">
        <f>"098"</f>
        <v>098</v>
      </c>
      <c r="E307" s="26" t="str">
        <f>"25"</f>
        <v>25</v>
      </c>
      <c r="F307" s="27" t="s">
        <v>28</v>
      </c>
      <c r="G307" s="27">
        <v>81</v>
      </c>
      <c r="H307" s="28">
        <v>67.5</v>
      </c>
      <c r="I307" s="27">
        <v>90.5</v>
      </c>
      <c r="J307" s="28">
        <v>75.4166666666667</v>
      </c>
      <c r="K307" s="27"/>
      <c r="L307" s="28">
        <v>71.4583333333333</v>
      </c>
    </row>
    <row r="308" ht="14.25" customHeight="1" spans="1:12">
      <c r="A308" s="24">
        <v>17</v>
      </c>
      <c r="B308" s="25" t="str">
        <f t="shared" si="30"/>
        <v>20240315</v>
      </c>
      <c r="C308" s="26" t="str">
        <f>"2420209902"</f>
        <v>2420209902</v>
      </c>
      <c r="D308" s="26" t="str">
        <f>"099"</f>
        <v>099</v>
      </c>
      <c r="E308" s="26" t="str">
        <f>"02"</f>
        <v>02</v>
      </c>
      <c r="F308" s="27" t="s">
        <v>28</v>
      </c>
      <c r="G308" s="27">
        <v>98</v>
      </c>
      <c r="H308" s="28">
        <v>81.6666666666667</v>
      </c>
      <c r="I308" s="27">
        <v>73.5</v>
      </c>
      <c r="J308" s="28">
        <v>61.25</v>
      </c>
      <c r="K308" s="27"/>
      <c r="L308" s="28">
        <v>71.4583333333333</v>
      </c>
    </row>
    <row r="309" ht="14.25" customHeight="1" spans="1:12">
      <c r="A309" s="24">
        <v>18</v>
      </c>
      <c r="B309" s="25" t="str">
        <f t="shared" si="30"/>
        <v>20240315</v>
      </c>
      <c r="C309" s="26" t="str">
        <f>"2420210120"</f>
        <v>2420210120</v>
      </c>
      <c r="D309" s="26" t="str">
        <f>"101"</f>
        <v>101</v>
      </c>
      <c r="E309" s="26" t="str">
        <f>"20"</f>
        <v>20</v>
      </c>
      <c r="F309" s="27" t="s">
        <v>28</v>
      </c>
      <c r="G309" s="27">
        <v>71.5</v>
      </c>
      <c r="H309" s="28">
        <v>59.5833333333333</v>
      </c>
      <c r="I309" s="27">
        <v>100</v>
      </c>
      <c r="J309" s="28">
        <v>83.3333333333333</v>
      </c>
      <c r="K309" s="27"/>
      <c r="L309" s="28">
        <v>71.4583333333333</v>
      </c>
    </row>
    <row r="310" ht="14.25" customHeight="1" spans="1:12">
      <c r="A310" s="29">
        <v>1</v>
      </c>
      <c r="B310" s="30" t="str">
        <f t="shared" ref="B310:B315" si="33">"20240316"</f>
        <v>20240316</v>
      </c>
      <c r="C310" s="31" t="str">
        <f>"2420210417"</f>
        <v>2420210417</v>
      </c>
      <c r="D310" s="31" t="str">
        <f t="shared" ref="D310:D314" si="34">"104"</f>
        <v>104</v>
      </c>
      <c r="E310" s="31" t="str">
        <f>"17"</f>
        <v>17</v>
      </c>
      <c r="F310" s="32" t="s">
        <v>29</v>
      </c>
      <c r="G310" s="32">
        <v>80.5</v>
      </c>
      <c r="H310" s="33">
        <v>67.0833333333333</v>
      </c>
      <c r="I310" s="32">
        <v>83.8</v>
      </c>
      <c r="J310" s="33">
        <v>69.8333333333333</v>
      </c>
      <c r="K310" s="32"/>
      <c r="L310" s="33">
        <v>68.4583333333333</v>
      </c>
    </row>
    <row r="311" ht="14.25" customHeight="1" spans="1:12">
      <c r="A311" s="29">
        <v>2</v>
      </c>
      <c r="B311" s="30" t="str">
        <f t="shared" si="33"/>
        <v>20240316</v>
      </c>
      <c r="C311" s="31" t="str">
        <f>"2420210428"</f>
        <v>2420210428</v>
      </c>
      <c r="D311" s="31" t="str">
        <f t="shared" si="34"/>
        <v>104</v>
      </c>
      <c r="E311" s="31" t="str">
        <f>"28"</f>
        <v>28</v>
      </c>
      <c r="F311" s="32" t="s">
        <v>29</v>
      </c>
      <c r="G311" s="32">
        <v>81.5</v>
      </c>
      <c r="H311" s="33">
        <v>67.9166666666667</v>
      </c>
      <c r="I311" s="32">
        <v>79</v>
      </c>
      <c r="J311" s="33">
        <v>65.8333333333333</v>
      </c>
      <c r="K311" s="32"/>
      <c r="L311" s="33">
        <v>66.875</v>
      </c>
    </row>
    <row r="312" ht="14.25" customHeight="1" spans="1:12">
      <c r="A312" s="29">
        <v>3</v>
      </c>
      <c r="B312" s="30" t="str">
        <f t="shared" si="33"/>
        <v>20240316</v>
      </c>
      <c r="C312" s="31" t="str">
        <f>"2420210524"</f>
        <v>2420210524</v>
      </c>
      <c r="D312" s="31" t="str">
        <f>"105"</f>
        <v>105</v>
      </c>
      <c r="E312" s="31" t="str">
        <f>"24"</f>
        <v>24</v>
      </c>
      <c r="F312" s="32" t="s">
        <v>29</v>
      </c>
      <c r="G312" s="32">
        <v>91.5</v>
      </c>
      <c r="H312" s="33">
        <v>76.25</v>
      </c>
      <c r="I312" s="32">
        <v>68.6</v>
      </c>
      <c r="J312" s="33">
        <v>57.1666666666667</v>
      </c>
      <c r="K312" s="32"/>
      <c r="L312" s="33">
        <v>66.7083333333333</v>
      </c>
    </row>
    <row r="313" ht="14.25" customHeight="1" spans="1:12">
      <c r="A313" s="29">
        <v>4</v>
      </c>
      <c r="B313" s="30" t="str">
        <f t="shared" si="33"/>
        <v>20240316</v>
      </c>
      <c r="C313" s="31" t="str">
        <f>"2420210415"</f>
        <v>2420210415</v>
      </c>
      <c r="D313" s="31" t="str">
        <f t="shared" si="34"/>
        <v>104</v>
      </c>
      <c r="E313" s="31" t="str">
        <f>"15"</f>
        <v>15</v>
      </c>
      <c r="F313" s="32" t="s">
        <v>29</v>
      </c>
      <c r="G313" s="32">
        <v>84.5</v>
      </c>
      <c r="H313" s="33">
        <v>70.4166666666667</v>
      </c>
      <c r="I313" s="32">
        <v>70.8</v>
      </c>
      <c r="J313" s="33">
        <v>59</v>
      </c>
      <c r="K313" s="32"/>
      <c r="L313" s="33">
        <v>64.7083333333333</v>
      </c>
    </row>
    <row r="314" ht="14.25" customHeight="1" spans="1:12">
      <c r="A314" s="29">
        <v>5</v>
      </c>
      <c r="B314" s="30" t="str">
        <f t="shared" si="33"/>
        <v>20240316</v>
      </c>
      <c r="C314" s="31" t="str">
        <f>"2420210401"</f>
        <v>2420210401</v>
      </c>
      <c r="D314" s="31" t="str">
        <f t="shared" si="34"/>
        <v>104</v>
      </c>
      <c r="E314" s="31" t="str">
        <f>"01"</f>
        <v>01</v>
      </c>
      <c r="F314" s="32" t="s">
        <v>29</v>
      </c>
      <c r="G314" s="32">
        <v>78.5</v>
      </c>
      <c r="H314" s="33">
        <v>65.4166666666667</v>
      </c>
      <c r="I314" s="32">
        <v>73.2</v>
      </c>
      <c r="J314" s="33">
        <v>61</v>
      </c>
      <c r="K314" s="32"/>
      <c r="L314" s="33">
        <v>63.2083333333333</v>
      </c>
    </row>
    <row r="315" ht="14.25" customHeight="1" spans="1:12">
      <c r="A315" s="29">
        <v>6</v>
      </c>
      <c r="B315" s="30" t="str">
        <f t="shared" si="33"/>
        <v>20240316</v>
      </c>
      <c r="C315" s="31" t="str">
        <f>"2420210514"</f>
        <v>2420210514</v>
      </c>
      <c r="D315" s="31" t="str">
        <f>"105"</f>
        <v>105</v>
      </c>
      <c r="E315" s="31" t="str">
        <f>"14"</f>
        <v>14</v>
      </c>
      <c r="F315" s="32" t="s">
        <v>29</v>
      </c>
      <c r="G315" s="32">
        <v>77.5</v>
      </c>
      <c r="H315" s="33">
        <v>64.5833333333333</v>
      </c>
      <c r="I315" s="32">
        <v>72.6</v>
      </c>
      <c r="J315" s="33">
        <v>60.5</v>
      </c>
      <c r="K315" s="32"/>
      <c r="L315" s="33">
        <v>62.5416666666667</v>
      </c>
    </row>
    <row r="316" ht="14.25" customHeight="1" spans="1:12">
      <c r="A316" s="34">
        <v>1</v>
      </c>
      <c r="B316" s="35" t="str">
        <f t="shared" ref="B316:B324" si="35">"20240317"</f>
        <v>20240317</v>
      </c>
      <c r="C316" s="36" t="str">
        <f>"2420210818"</f>
        <v>2420210818</v>
      </c>
      <c r="D316" s="36" t="str">
        <f t="shared" ref="D316:D320" si="36">"108"</f>
        <v>108</v>
      </c>
      <c r="E316" s="36" t="str">
        <f>"18"</f>
        <v>18</v>
      </c>
      <c r="F316" s="37" t="s">
        <v>30</v>
      </c>
      <c r="G316" s="37">
        <v>86</v>
      </c>
      <c r="H316" s="38">
        <v>71.6666666666667</v>
      </c>
      <c r="I316" s="37">
        <v>95.5</v>
      </c>
      <c r="J316" s="38">
        <v>79.5833333333333</v>
      </c>
      <c r="K316" s="37"/>
      <c r="L316" s="38">
        <v>75.625</v>
      </c>
    </row>
    <row r="317" ht="14.25" customHeight="1" spans="1:12">
      <c r="A317" s="34">
        <v>2</v>
      </c>
      <c r="B317" s="35" t="str">
        <f t="shared" si="35"/>
        <v>20240317</v>
      </c>
      <c r="C317" s="36" t="str">
        <f>"2420210905"</f>
        <v>2420210905</v>
      </c>
      <c r="D317" s="36" t="str">
        <f t="shared" ref="D317:D322" si="37">"109"</f>
        <v>109</v>
      </c>
      <c r="E317" s="36" t="str">
        <f>"05"</f>
        <v>05</v>
      </c>
      <c r="F317" s="37" t="s">
        <v>30</v>
      </c>
      <c r="G317" s="37">
        <v>68</v>
      </c>
      <c r="H317" s="38">
        <v>56.6666666666667</v>
      </c>
      <c r="I317" s="37">
        <v>106.7</v>
      </c>
      <c r="J317" s="38">
        <v>88.9166666666667</v>
      </c>
      <c r="K317" s="37"/>
      <c r="L317" s="38">
        <v>72.7916666666667</v>
      </c>
    </row>
    <row r="318" ht="14.25" customHeight="1" spans="1:12">
      <c r="A318" s="34">
        <v>3</v>
      </c>
      <c r="B318" s="35" t="str">
        <f t="shared" si="35"/>
        <v>20240317</v>
      </c>
      <c r="C318" s="36" t="str">
        <f>"2420210913"</f>
        <v>2420210913</v>
      </c>
      <c r="D318" s="36" t="str">
        <f t="shared" si="37"/>
        <v>109</v>
      </c>
      <c r="E318" s="36" t="str">
        <f>"13"</f>
        <v>13</v>
      </c>
      <c r="F318" s="37" t="s">
        <v>30</v>
      </c>
      <c r="G318" s="37">
        <v>100.5</v>
      </c>
      <c r="H318" s="38">
        <v>83.75</v>
      </c>
      <c r="I318" s="37">
        <v>73.3</v>
      </c>
      <c r="J318" s="38">
        <v>61.0833333333333</v>
      </c>
      <c r="K318" s="37"/>
      <c r="L318" s="38">
        <v>72.4166666666667</v>
      </c>
    </row>
    <row r="319" ht="14.25" customHeight="1" spans="1:12">
      <c r="A319" s="34">
        <v>4</v>
      </c>
      <c r="B319" s="35" t="str">
        <f t="shared" si="35"/>
        <v>20240317</v>
      </c>
      <c r="C319" s="36" t="str">
        <f>"2420210823"</f>
        <v>2420210823</v>
      </c>
      <c r="D319" s="36" t="str">
        <f t="shared" si="36"/>
        <v>108</v>
      </c>
      <c r="E319" s="36" t="str">
        <f>"23"</f>
        <v>23</v>
      </c>
      <c r="F319" s="37" t="s">
        <v>30</v>
      </c>
      <c r="G319" s="37">
        <v>72.5</v>
      </c>
      <c r="H319" s="38">
        <v>60.4166666666667</v>
      </c>
      <c r="I319" s="37">
        <v>100.6</v>
      </c>
      <c r="J319" s="38">
        <v>83.8333333333333</v>
      </c>
      <c r="K319" s="37"/>
      <c r="L319" s="38">
        <v>72.125</v>
      </c>
    </row>
    <row r="320" ht="14.25" customHeight="1" spans="1:12">
      <c r="A320" s="34">
        <v>5</v>
      </c>
      <c r="B320" s="35" t="str">
        <f t="shared" si="35"/>
        <v>20240317</v>
      </c>
      <c r="C320" s="36" t="str">
        <f>"2420210828"</f>
        <v>2420210828</v>
      </c>
      <c r="D320" s="36" t="str">
        <f t="shared" si="36"/>
        <v>108</v>
      </c>
      <c r="E320" s="36" t="str">
        <f>"28"</f>
        <v>28</v>
      </c>
      <c r="F320" s="37" t="s">
        <v>30</v>
      </c>
      <c r="G320" s="37">
        <v>80.5</v>
      </c>
      <c r="H320" s="38">
        <v>67.0833333333333</v>
      </c>
      <c r="I320" s="37">
        <v>90.3</v>
      </c>
      <c r="J320" s="38">
        <v>75.25</v>
      </c>
      <c r="K320" s="37"/>
      <c r="L320" s="38">
        <v>71.1666666666667</v>
      </c>
    </row>
    <row r="321" ht="14.25" customHeight="1" spans="1:12">
      <c r="A321" s="34">
        <v>6</v>
      </c>
      <c r="B321" s="35" t="str">
        <f t="shared" si="35"/>
        <v>20240317</v>
      </c>
      <c r="C321" s="36" t="str">
        <f>"2420210911"</f>
        <v>2420210911</v>
      </c>
      <c r="D321" s="36" t="str">
        <f t="shared" si="37"/>
        <v>109</v>
      </c>
      <c r="E321" s="36" t="str">
        <f>"11"</f>
        <v>11</v>
      </c>
      <c r="F321" s="37" t="s">
        <v>30</v>
      </c>
      <c r="G321" s="37">
        <v>60.5</v>
      </c>
      <c r="H321" s="38">
        <v>50.4166666666667</v>
      </c>
      <c r="I321" s="37">
        <v>109.9</v>
      </c>
      <c r="J321" s="38">
        <v>91.5833333333333</v>
      </c>
      <c r="K321" s="37"/>
      <c r="L321" s="38">
        <v>71</v>
      </c>
    </row>
    <row r="322" ht="14.25" customHeight="1" spans="1:12">
      <c r="A322" s="34">
        <v>7</v>
      </c>
      <c r="B322" s="35" t="str">
        <f t="shared" si="35"/>
        <v>20240317</v>
      </c>
      <c r="C322" s="36" t="str">
        <f>"2420210924"</f>
        <v>2420210924</v>
      </c>
      <c r="D322" s="36" t="str">
        <f t="shared" si="37"/>
        <v>109</v>
      </c>
      <c r="E322" s="36" t="str">
        <f>"24"</f>
        <v>24</v>
      </c>
      <c r="F322" s="37" t="s">
        <v>30</v>
      </c>
      <c r="G322" s="37">
        <v>80</v>
      </c>
      <c r="H322" s="38">
        <v>66.6666666666667</v>
      </c>
      <c r="I322" s="37">
        <v>87.5</v>
      </c>
      <c r="J322" s="38">
        <v>72.9166666666667</v>
      </c>
      <c r="K322" s="37"/>
      <c r="L322" s="38">
        <v>69.7916666666667</v>
      </c>
    </row>
    <row r="323" ht="14.25" customHeight="1" spans="1:12">
      <c r="A323" s="34">
        <v>8</v>
      </c>
      <c r="B323" s="35" t="str">
        <f t="shared" si="35"/>
        <v>20240317</v>
      </c>
      <c r="C323" s="36" t="str">
        <f>"2420210809"</f>
        <v>2420210809</v>
      </c>
      <c r="D323" s="36" t="str">
        <f>"108"</f>
        <v>108</v>
      </c>
      <c r="E323" s="36" t="str">
        <f>"09"</f>
        <v>09</v>
      </c>
      <c r="F323" s="37" t="s">
        <v>30</v>
      </c>
      <c r="G323" s="37">
        <v>60.5</v>
      </c>
      <c r="H323" s="38">
        <v>50.4166666666667</v>
      </c>
      <c r="I323" s="37">
        <v>106.3</v>
      </c>
      <c r="J323" s="38">
        <v>88.5833333333333</v>
      </c>
      <c r="K323" s="37"/>
      <c r="L323" s="38">
        <v>69.5</v>
      </c>
    </row>
    <row r="324" ht="14.25" customHeight="1" spans="1:12">
      <c r="A324" s="34">
        <v>9</v>
      </c>
      <c r="B324" s="35" t="str">
        <f t="shared" si="35"/>
        <v>20240317</v>
      </c>
      <c r="C324" s="36" t="str">
        <f>"2420210730"</f>
        <v>2420210730</v>
      </c>
      <c r="D324" s="36" t="str">
        <f>"107"</f>
        <v>107</v>
      </c>
      <c r="E324" s="36" t="str">
        <f>"30"</f>
        <v>30</v>
      </c>
      <c r="F324" s="37" t="s">
        <v>30</v>
      </c>
      <c r="G324" s="37">
        <v>85</v>
      </c>
      <c r="H324" s="38">
        <v>70.8333333333333</v>
      </c>
      <c r="I324" s="37">
        <v>81.3</v>
      </c>
      <c r="J324" s="38">
        <v>67.75</v>
      </c>
      <c r="K324" s="37"/>
      <c r="L324" s="38">
        <v>69.2916666666667</v>
      </c>
    </row>
    <row r="325" ht="14.25" customHeight="1" spans="1:12">
      <c r="A325" s="9">
        <v>1</v>
      </c>
      <c r="B325" s="13" t="str">
        <f t="shared" ref="B325:B333" si="38">"20240318"</f>
        <v>20240318</v>
      </c>
      <c r="C325" s="10" t="str">
        <f>"2420211224"</f>
        <v>2420211224</v>
      </c>
      <c r="D325" s="10" t="str">
        <f t="shared" ref="D325:D328" si="39">"112"</f>
        <v>112</v>
      </c>
      <c r="E325" s="10" t="str">
        <f>"24"</f>
        <v>24</v>
      </c>
      <c r="F325" s="11" t="s">
        <v>31</v>
      </c>
      <c r="G325" s="11">
        <v>94</v>
      </c>
      <c r="H325" s="12">
        <v>78.3333333333333</v>
      </c>
      <c r="I325" s="11">
        <v>96.5</v>
      </c>
      <c r="J325" s="12">
        <v>80.4166666666667</v>
      </c>
      <c r="K325" s="11"/>
      <c r="L325" s="12">
        <v>79.375</v>
      </c>
    </row>
    <row r="326" ht="14.25" customHeight="1" spans="1:12">
      <c r="A326" s="9">
        <v>2</v>
      </c>
      <c r="B326" s="13" t="str">
        <f t="shared" si="38"/>
        <v>20240318</v>
      </c>
      <c r="C326" s="10" t="str">
        <f>"2420211220"</f>
        <v>2420211220</v>
      </c>
      <c r="D326" s="10" t="str">
        <f t="shared" si="39"/>
        <v>112</v>
      </c>
      <c r="E326" s="10" t="str">
        <f>"20"</f>
        <v>20</v>
      </c>
      <c r="F326" s="11" t="s">
        <v>31</v>
      </c>
      <c r="G326" s="11">
        <v>98</v>
      </c>
      <c r="H326" s="12">
        <v>81.6666666666667</v>
      </c>
      <c r="I326" s="11">
        <v>90.5</v>
      </c>
      <c r="J326" s="12">
        <v>75.4166666666667</v>
      </c>
      <c r="K326" s="11"/>
      <c r="L326" s="12">
        <v>78.5416666666667</v>
      </c>
    </row>
    <row r="327" ht="14.25" customHeight="1" spans="1:12">
      <c r="A327" s="9">
        <v>3</v>
      </c>
      <c r="B327" s="13" t="str">
        <f t="shared" si="38"/>
        <v>20240318</v>
      </c>
      <c r="C327" s="10" t="str">
        <f>"2420211127"</f>
        <v>2420211127</v>
      </c>
      <c r="D327" s="10" t="str">
        <f>"111"</f>
        <v>111</v>
      </c>
      <c r="E327" s="10" t="str">
        <f>"27"</f>
        <v>27</v>
      </c>
      <c r="F327" s="11" t="s">
        <v>31</v>
      </c>
      <c r="G327" s="11">
        <v>83.5</v>
      </c>
      <c r="H327" s="12">
        <v>69.5833333333333</v>
      </c>
      <c r="I327" s="11">
        <v>104</v>
      </c>
      <c r="J327" s="12">
        <v>86.6666666666667</v>
      </c>
      <c r="K327" s="11"/>
      <c r="L327" s="12">
        <v>78.125</v>
      </c>
    </row>
    <row r="328" ht="14.25" customHeight="1" spans="1:12">
      <c r="A328" s="9">
        <v>4</v>
      </c>
      <c r="B328" s="13" t="str">
        <f t="shared" si="38"/>
        <v>20240318</v>
      </c>
      <c r="C328" s="10" t="str">
        <f>"2420211209"</f>
        <v>2420211209</v>
      </c>
      <c r="D328" s="10" t="str">
        <f t="shared" si="39"/>
        <v>112</v>
      </c>
      <c r="E328" s="10" t="str">
        <f>"09"</f>
        <v>09</v>
      </c>
      <c r="F328" s="11" t="s">
        <v>31</v>
      </c>
      <c r="G328" s="11">
        <v>89.5</v>
      </c>
      <c r="H328" s="12">
        <v>74.5833333333333</v>
      </c>
      <c r="I328" s="11">
        <v>98</v>
      </c>
      <c r="J328" s="12">
        <v>81.6666666666667</v>
      </c>
      <c r="K328" s="11"/>
      <c r="L328" s="12">
        <v>78.125</v>
      </c>
    </row>
    <row r="329" ht="14.25" customHeight="1" spans="1:12">
      <c r="A329" s="9">
        <v>5</v>
      </c>
      <c r="B329" s="13" t="str">
        <f t="shared" si="38"/>
        <v>20240318</v>
      </c>
      <c r="C329" s="10" t="str">
        <f>"2420211114"</f>
        <v>2420211114</v>
      </c>
      <c r="D329" s="10" t="str">
        <f>"111"</f>
        <v>111</v>
      </c>
      <c r="E329" s="10" t="str">
        <f>"14"</f>
        <v>14</v>
      </c>
      <c r="F329" s="11" t="s">
        <v>31</v>
      </c>
      <c r="G329" s="11">
        <v>89.5</v>
      </c>
      <c r="H329" s="12">
        <v>74.5833333333333</v>
      </c>
      <c r="I329" s="11">
        <v>96</v>
      </c>
      <c r="J329" s="12">
        <v>80</v>
      </c>
      <c r="K329" s="11"/>
      <c r="L329" s="12">
        <v>77.2916666666667</v>
      </c>
    </row>
    <row r="330" ht="14.25" customHeight="1" spans="1:12">
      <c r="A330" s="9">
        <v>6</v>
      </c>
      <c r="B330" s="13" t="str">
        <f t="shared" si="38"/>
        <v>20240318</v>
      </c>
      <c r="C330" s="10" t="str">
        <f>"2420211513"</f>
        <v>2420211513</v>
      </c>
      <c r="D330" s="10" t="str">
        <f t="shared" ref="D330:D332" si="40">"115"</f>
        <v>115</v>
      </c>
      <c r="E330" s="10" t="str">
        <f>"13"</f>
        <v>13</v>
      </c>
      <c r="F330" s="11" t="s">
        <v>31</v>
      </c>
      <c r="G330" s="11">
        <v>87</v>
      </c>
      <c r="H330" s="12">
        <v>72.5</v>
      </c>
      <c r="I330" s="11">
        <v>97.5</v>
      </c>
      <c r="J330" s="12">
        <v>81.25</v>
      </c>
      <c r="K330" s="11"/>
      <c r="L330" s="12">
        <v>76.875</v>
      </c>
    </row>
    <row r="331" ht="14.25" customHeight="1" spans="1:12">
      <c r="A331" s="9">
        <v>7</v>
      </c>
      <c r="B331" s="13" t="str">
        <f t="shared" si="38"/>
        <v>20240318</v>
      </c>
      <c r="C331" s="10" t="str">
        <f>"2420211526"</f>
        <v>2420211526</v>
      </c>
      <c r="D331" s="10" t="str">
        <f t="shared" si="40"/>
        <v>115</v>
      </c>
      <c r="E331" s="10" t="str">
        <f>"26"</f>
        <v>26</v>
      </c>
      <c r="F331" s="11" t="s">
        <v>31</v>
      </c>
      <c r="G331" s="11">
        <v>94.5</v>
      </c>
      <c r="H331" s="12">
        <v>78.75</v>
      </c>
      <c r="I331" s="11">
        <v>89.5</v>
      </c>
      <c r="J331" s="12">
        <v>74.5833333333333</v>
      </c>
      <c r="K331" s="11"/>
      <c r="L331" s="12">
        <v>76.6666666666667</v>
      </c>
    </row>
    <row r="332" ht="14.25" customHeight="1" spans="1:12">
      <c r="A332" s="9">
        <v>8</v>
      </c>
      <c r="B332" s="13" t="str">
        <f t="shared" si="38"/>
        <v>20240318</v>
      </c>
      <c r="C332" s="10" t="str">
        <f>"2420211514"</f>
        <v>2420211514</v>
      </c>
      <c r="D332" s="10" t="str">
        <f t="shared" si="40"/>
        <v>115</v>
      </c>
      <c r="E332" s="10" t="str">
        <f>"14"</f>
        <v>14</v>
      </c>
      <c r="F332" s="11" t="s">
        <v>31</v>
      </c>
      <c r="G332" s="11">
        <v>90</v>
      </c>
      <c r="H332" s="12">
        <v>75</v>
      </c>
      <c r="I332" s="11">
        <v>93</v>
      </c>
      <c r="J332" s="12">
        <v>77.5</v>
      </c>
      <c r="K332" s="11"/>
      <c r="L332" s="12">
        <v>76.25</v>
      </c>
    </row>
    <row r="333" ht="14.25" customHeight="1" spans="1:12">
      <c r="A333" s="9">
        <v>9</v>
      </c>
      <c r="B333" s="13" t="str">
        <f t="shared" si="38"/>
        <v>20240318</v>
      </c>
      <c r="C333" s="10" t="str">
        <f>"2420211106"</f>
        <v>2420211106</v>
      </c>
      <c r="D333" s="10" t="str">
        <f>"111"</f>
        <v>111</v>
      </c>
      <c r="E333" s="10" t="str">
        <f>"06"</f>
        <v>06</v>
      </c>
      <c r="F333" s="11" t="s">
        <v>31</v>
      </c>
      <c r="G333" s="11">
        <v>78</v>
      </c>
      <c r="H333" s="12">
        <v>65</v>
      </c>
      <c r="I333" s="11">
        <v>104.5</v>
      </c>
      <c r="J333" s="12">
        <v>87.0833333333333</v>
      </c>
      <c r="K333" s="11"/>
      <c r="L333" s="12">
        <v>76.0416666666667</v>
      </c>
    </row>
    <row r="334" ht="14.25" customHeight="1" spans="1:12">
      <c r="A334" s="39">
        <v>1</v>
      </c>
      <c r="B334" s="40" t="str">
        <f>"20240319"</f>
        <v>20240319</v>
      </c>
      <c r="C334" s="41" t="str">
        <f>"2420211701"</f>
        <v>2420211701</v>
      </c>
      <c r="D334" s="41" t="str">
        <f>"117"</f>
        <v>117</v>
      </c>
      <c r="E334" s="41" t="str">
        <f>"01"</f>
        <v>01</v>
      </c>
      <c r="F334" s="42" t="s">
        <v>32</v>
      </c>
      <c r="G334" s="42">
        <v>69.5</v>
      </c>
      <c r="H334" s="43">
        <v>57.9166666666667</v>
      </c>
      <c r="I334" s="42">
        <v>89.5</v>
      </c>
      <c r="J334" s="43">
        <v>74.5833333333333</v>
      </c>
      <c r="K334" s="42"/>
      <c r="L334" s="43">
        <v>66.25</v>
      </c>
    </row>
    <row r="335" ht="14.25" customHeight="1" spans="1:12">
      <c r="A335" s="39">
        <v>2</v>
      </c>
      <c r="B335" s="40" t="str">
        <f>"20240319"</f>
        <v>20240319</v>
      </c>
      <c r="C335" s="41" t="str">
        <f>"2420211702"</f>
        <v>2420211702</v>
      </c>
      <c r="D335" s="41" t="str">
        <f>"117"</f>
        <v>117</v>
      </c>
      <c r="E335" s="41" t="str">
        <f>"02"</f>
        <v>02</v>
      </c>
      <c r="F335" s="42" t="s">
        <v>32</v>
      </c>
      <c r="G335" s="42">
        <v>67.5</v>
      </c>
      <c r="H335" s="43">
        <v>56.25</v>
      </c>
      <c r="I335" s="42">
        <v>79.5</v>
      </c>
      <c r="J335" s="43">
        <v>66.25</v>
      </c>
      <c r="K335" s="42"/>
      <c r="L335" s="43">
        <v>61.25</v>
      </c>
    </row>
    <row r="336" ht="14.25" customHeight="1" spans="1:12">
      <c r="A336" s="19">
        <v>1</v>
      </c>
      <c r="B336" s="20" t="str">
        <f t="shared" ref="B336:B342" si="41">"20240320"</f>
        <v>20240320</v>
      </c>
      <c r="C336" s="21" t="str">
        <f>"2420311918"</f>
        <v>2420311918</v>
      </c>
      <c r="D336" s="21" t="str">
        <f>"119"</f>
        <v>119</v>
      </c>
      <c r="E336" s="21" t="str">
        <f>"18"</f>
        <v>18</v>
      </c>
      <c r="F336" s="22" t="s">
        <v>33</v>
      </c>
      <c r="G336" s="22">
        <v>86.5</v>
      </c>
      <c r="H336" s="23">
        <v>72.0833333333333</v>
      </c>
      <c r="I336" s="22">
        <v>86</v>
      </c>
      <c r="J336" s="23">
        <v>71.6666666666667</v>
      </c>
      <c r="K336" s="22"/>
      <c r="L336" s="23">
        <v>71.875</v>
      </c>
    </row>
    <row r="337" ht="14.25" customHeight="1" spans="1:12">
      <c r="A337" s="19">
        <v>2</v>
      </c>
      <c r="B337" s="20" t="str">
        <f t="shared" si="41"/>
        <v>20240320</v>
      </c>
      <c r="C337" s="21" t="str">
        <f>"2420311820"</f>
        <v>2420311820</v>
      </c>
      <c r="D337" s="21" t="str">
        <f t="shared" ref="D337:D341" si="42">"118"</f>
        <v>118</v>
      </c>
      <c r="E337" s="21" t="str">
        <f>"20"</f>
        <v>20</v>
      </c>
      <c r="F337" s="22" t="s">
        <v>33</v>
      </c>
      <c r="G337" s="22">
        <v>68.5</v>
      </c>
      <c r="H337" s="23">
        <v>57.0833333333333</v>
      </c>
      <c r="I337" s="22">
        <v>96</v>
      </c>
      <c r="J337" s="23">
        <v>80</v>
      </c>
      <c r="K337" s="22"/>
      <c r="L337" s="23">
        <v>68.5416666666667</v>
      </c>
    </row>
    <row r="338" ht="14.25" customHeight="1" spans="1:12">
      <c r="A338" s="19">
        <v>3</v>
      </c>
      <c r="B338" s="20" t="str">
        <f t="shared" si="41"/>
        <v>20240320</v>
      </c>
      <c r="C338" s="21" t="str">
        <f>"2420311801"</f>
        <v>2420311801</v>
      </c>
      <c r="D338" s="21" t="str">
        <f t="shared" si="42"/>
        <v>118</v>
      </c>
      <c r="E338" s="21" t="str">
        <f>"01"</f>
        <v>01</v>
      </c>
      <c r="F338" s="22" t="s">
        <v>33</v>
      </c>
      <c r="G338" s="22">
        <v>73</v>
      </c>
      <c r="H338" s="23">
        <v>60.8333333333333</v>
      </c>
      <c r="I338" s="22">
        <v>88.5</v>
      </c>
      <c r="J338" s="23">
        <v>73.75</v>
      </c>
      <c r="K338" s="22"/>
      <c r="L338" s="23">
        <v>67.2916666666667</v>
      </c>
    </row>
    <row r="339" ht="14.25" customHeight="1" spans="1:12">
      <c r="A339" s="19">
        <v>4</v>
      </c>
      <c r="B339" s="20" t="str">
        <f t="shared" si="41"/>
        <v>20240320</v>
      </c>
      <c r="C339" s="21" t="str">
        <f>"2420311827"</f>
        <v>2420311827</v>
      </c>
      <c r="D339" s="21" t="str">
        <f t="shared" si="42"/>
        <v>118</v>
      </c>
      <c r="E339" s="21" t="str">
        <f>"27"</f>
        <v>27</v>
      </c>
      <c r="F339" s="22" t="s">
        <v>33</v>
      </c>
      <c r="G339" s="22">
        <v>89</v>
      </c>
      <c r="H339" s="23">
        <v>74.1666666666667</v>
      </c>
      <c r="I339" s="22">
        <v>72.5</v>
      </c>
      <c r="J339" s="23">
        <v>60.4166666666667</v>
      </c>
      <c r="K339" s="22"/>
      <c r="L339" s="23">
        <v>67.2916666666667</v>
      </c>
    </row>
    <row r="340" ht="14.25" customHeight="1" spans="1:12">
      <c r="A340" s="19">
        <v>5</v>
      </c>
      <c r="B340" s="20" t="str">
        <f t="shared" si="41"/>
        <v>20240320</v>
      </c>
      <c r="C340" s="21" t="str">
        <f>"2420311829"</f>
        <v>2420311829</v>
      </c>
      <c r="D340" s="21" t="str">
        <f t="shared" si="42"/>
        <v>118</v>
      </c>
      <c r="E340" s="21" t="str">
        <f>"29"</f>
        <v>29</v>
      </c>
      <c r="F340" s="22" t="s">
        <v>33</v>
      </c>
      <c r="G340" s="22">
        <v>83</v>
      </c>
      <c r="H340" s="23">
        <v>69.1666666666667</v>
      </c>
      <c r="I340" s="22">
        <v>78</v>
      </c>
      <c r="J340" s="23">
        <v>65</v>
      </c>
      <c r="K340" s="22"/>
      <c r="L340" s="23">
        <v>67.0833333333333</v>
      </c>
    </row>
    <row r="341" ht="14.25" customHeight="1" spans="1:12">
      <c r="A341" s="19">
        <v>6</v>
      </c>
      <c r="B341" s="20" t="str">
        <f t="shared" si="41"/>
        <v>20240320</v>
      </c>
      <c r="C341" s="21" t="str">
        <f>"2420311826"</f>
        <v>2420311826</v>
      </c>
      <c r="D341" s="21" t="str">
        <f t="shared" si="42"/>
        <v>118</v>
      </c>
      <c r="E341" s="21" t="str">
        <f>"26"</f>
        <v>26</v>
      </c>
      <c r="F341" s="22" t="s">
        <v>33</v>
      </c>
      <c r="G341" s="22">
        <v>65.5</v>
      </c>
      <c r="H341" s="23">
        <v>54.5833333333333</v>
      </c>
      <c r="I341" s="22">
        <v>93</v>
      </c>
      <c r="J341" s="23">
        <v>77.5</v>
      </c>
      <c r="K341" s="22"/>
      <c r="L341" s="23">
        <v>66.0416666666667</v>
      </c>
    </row>
    <row r="342" ht="14.25" customHeight="1" spans="1:12">
      <c r="A342" s="19">
        <v>7</v>
      </c>
      <c r="B342" s="20" t="str">
        <f t="shared" si="41"/>
        <v>20240320</v>
      </c>
      <c r="C342" s="21" t="str">
        <f>"2420311903"</f>
        <v>2420311903</v>
      </c>
      <c r="D342" s="21" t="str">
        <f>"119"</f>
        <v>119</v>
      </c>
      <c r="E342" s="21" t="str">
        <f>"03"</f>
        <v>03</v>
      </c>
      <c r="F342" s="22" t="s">
        <v>33</v>
      </c>
      <c r="G342" s="22">
        <v>63</v>
      </c>
      <c r="H342" s="23">
        <v>52.5</v>
      </c>
      <c r="I342" s="22">
        <v>95.5</v>
      </c>
      <c r="J342" s="23">
        <v>79.5833333333333</v>
      </c>
      <c r="K342" s="22"/>
      <c r="L342" s="23">
        <v>66.0416666666667</v>
      </c>
    </row>
    <row r="343" ht="14.25" customHeight="1" spans="1:12">
      <c r="A343" s="24">
        <v>1</v>
      </c>
      <c r="B343" s="25" t="str">
        <f t="shared" ref="B343:B348" si="43">"20240321"</f>
        <v>20240321</v>
      </c>
      <c r="C343" s="26" t="str">
        <f>"2420312029"</f>
        <v>2420312029</v>
      </c>
      <c r="D343" s="26" t="str">
        <f t="shared" ref="D343:D347" si="44">"120"</f>
        <v>120</v>
      </c>
      <c r="E343" s="26" t="str">
        <f>"29"</f>
        <v>29</v>
      </c>
      <c r="F343" s="27" t="s">
        <v>34</v>
      </c>
      <c r="G343" s="27">
        <v>89</v>
      </c>
      <c r="H343" s="28">
        <v>74.1666666666667</v>
      </c>
      <c r="I343" s="27">
        <v>81</v>
      </c>
      <c r="J343" s="28">
        <v>67.5</v>
      </c>
      <c r="K343" s="27"/>
      <c r="L343" s="28">
        <v>70.8333333333333</v>
      </c>
    </row>
    <row r="344" ht="14.25" customHeight="1" spans="1:12">
      <c r="A344" s="24">
        <v>2</v>
      </c>
      <c r="B344" s="25" t="str">
        <f t="shared" si="43"/>
        <v>20240321</v>
      </c>
      <c r="C344" s="26" t="str">
        <f>"2420312104"</f>
        <v>2420312104</v>
      </c>
      <c r="D344" s="26" t="str">
        <f>"121"</f>
        <v>121</v>
      </c>
      <c r="E344" s="26" t="str">
        <f>"04"</f>
        <v>04</v>
      </c>
      <c r="F344" s="27" t="s">
        <v>34</v>
      </c>
      <c r="G344" s="27">
        <v>73</v>
      </c>
      <c r="H344" s="28">
        <v>60.8333333333333</v>
      </c>
      <c r="I344" s="27">
        <v>97</v>
      </c>
      <c r="J344" s="28">
        <v>80.8333333333333</v>
      </c>
      <c r="K344" s="27"/>
      <c r="L344" s="28">
        <v>70.8333333333333</v>
      </c>
    </row>
    <row r="345" ht="14.25" customHeight="1" spans="1:12">
      <c r="A345" s="24">
        <v>3</v>
      </c>
      <c r="B345" s="25" t="str">
        <f t="shared" si="43"/>
        <v>20240321</v>
      </c>
      <c r="C345" s="26" t="str">
        <f>"2420312016"</f>
        <v>2420312016</v>
      </c>
      <c r="D345" s="26" t="str">
        <f t="shared" si="44"/>
        <v>120</v>
      </c>
      <c r="E345" s="26" t="str">
        <f>"16"</f>
        <v>16</v>
      </c>
      <c r="F345" s="27" t="s">
        <v>34</v>
      </c>
      <c r="G345" s="27">
        <v>72</v>
      </c>
      <c r="H345" s="28">
        <v>60</v>
      </c>
      <c r="I345" s="27">
        <v>93.5</v>
      </c>
      <c r="J345" s="28">
        <v>77.9166666666667</v>
      </c>
      <c r="K345" s="27"/>
      <c r="L345" s="28">
        <v>68.9583333333333</v>
      </c>
    </row>
    <row r="346" ht="14.25" customHeight="1" spans="1:12">
      <c r="A346" s="24">
        <v>4</v>
      </c>
      <c r="B346" s="25" t="str">
        <f t="shared" si="43"/>
        <v>20240321</v>
      </c>
      <c r="C346" s="26" t="str">
        <f>"2420312004"</f>
        <v>2420312004</v>
      </c>
      <c r="D346" s="26" t="str">
        <f t="shared" si="44"/>
        <v>120</v>
      </c>
      <c r="E346" s="26" t="str">
        <f>"04"</f>
        <v>04</v>
      </c>
      <c r="F346" s="27" t="s">
        <v>34</v>
      </c>
      <c r="G346" s="27">
        <v>65</v>
      </c>
      <c r="H346" s="28">
        <v>54.1666666666667</v>
      </c>
      <c r="I346" s="27">
        <v>93.5</v>
      </c>
      <c r="J346" s="28">
        <v>77.9166666666667</v>
      </c>
      <c r="K346" s="27"/>
      <c r="L346" s="28">
        <v>66.0416666666667</v>
      </c>
    </row>
    <row r="347" ht="14.25" customHeight="1" spans="1:12">
      <c r="A347" s="24">
        <v>5</v>
      </c>
      <c r="B347" s="25" t="str">
        <f t="shared" si="43"/>
        <v>20240321</v>
      </c>
      <c r="C347" s="26" t="str">
        <f>"2420312021"</f>
        <v>2420312021</v>
      </c>
      <c r="D347" s="26" t="str">
        <f t="shared" si="44"/>
        <v>120</v>
      </c>
      <c r="E347" s="26" t="str">
        <f>"21"</f>
        <v>21</v>
      </c>
      <c r="F347" s="27" t="s">
        <v>34</v>
      </c>
      <c r="G347" s="27">
        <v>75</v>
      </c>
      <c r="H347" s="28">
        <v>62.5</v>
      </c>
      <c r="I347" s="27">
        <v>79.5</v>
      </c>
      <c r="J347" s="28">
        <v>66.25</v>
      </c>
      <c r="K347" s="27"/>
      <c r="L347" s="28">
        <v>64.375</v>
      </c>
    </row>
    <row r="348" ht="14.25" customHeight="1" spans="1:12">
      <c r="A348" s="24">
        <v>6</v>
      </c>
      <c r="B348" s="25" t="str">
        <f t="shared" si="43"/>
        <v>20240321</v>
      </c>
      <c r="C348" s="26" t="str">
        <f>"2420312101"</f>
        <v>2420312101</v>
      </c>
      <c r="D348" s="26" t="str">
        <f>"121"</f>
        <v>121</v>
      </c>
      <c r="E348" s="26" t="str">
        <f>"01"</f>
        <v>01</v>
      </c>
      <c r="F348" s="27" t="s">
        <v>34</v>
      </c>
      <c r="G348" s="27">
        <v>87.5</v>
      </c>
      <c r="H348" s="28">
        <v>72.9166666666667</v>
      </c>
      <c r="I348" s="27">
        <v>66</v>
      </c>
      <c r="J348" s="28">
        <v>55</v>
      </c>
      <c r="K348" s="27"/>
      <c r="L348" s="28">
        <v>63.9583333333333</v>
      </c>
    </row>
    <row r="349" ht="14.25" customHeight="1" spans="1:12">
      <c r="A349" s="29">
        <v>1</v>
      </c>
      <c r="B349" s="30" t="str">
        <f t="shared" ref="B349:B358" si="45">"20240322"</f>
        <v>20240322</v>
      </c>
      <c r="C349" s="31" t="str">
        <f>"2420312308"</f>
        <v>2420312308</v>
      </c>
      <c r="D349" s="31" t="str">
        <f>"123"</f>
        <v>123</v>
      </c>
      <c r="E349" s="31" t="str">
        <f>"08"</f>
        <v>08</v>
      </c>
      <c r="F349" s="32" t="s">
        <v>35</v>
      </c>
      <c r="G349" s="32">
        <v>83</v>
      </c>
      <c r="H349" s="33">
        <v>69.1666666666667</v>
      </c>
      <c r="I349" s="32">
        <v>88.5</v>
      </c>
      <c r="J349" s="33">
        <v>73.75</v>
      </c>
      <c r="K349" s="32"/>
      <c r="L349" s="33">
        <v>71.4583333333333</v>
      </c>
    </row>
    <row r="350" ht="14.25" customHeight="1" spans="1:12">
      <c r="A350" s="29">
        <v>2</v>
      </c>
      <c r="B350" s="30" t="str">
        <f t="shared" si="45"/>
        <v>20240322</v>
      </c>
      <c r="C350" s="31" t="str">
        <f>"2420312228"</f>
        <v>2420312228</v>
      </c>
      <c r="D350" s="31" t="str">
        <f t="shared" ref="D350:D358" si="46">"122"</f>
        <v>122</v>
      </c>
      <c r="E350" s="31" t="str">
        <f>"28"</f>
        <v>28</v>
      </c>
      <c r="F350" s="32" t="s">
        <v>35</v>
      </c>
      <c r="G350" s="32">
        <v>92</v>
      </c>
      <c r="H350" s="33">
        <v>76.6666666666667</v>
      </c>
      <c r="I350" s="32">
        <v>74</v>
      </c>
      <c r="J350" s="33">
        <v>61.6666666666667</v>
      </c>
      <c r="K350" s="32"/>
      <c r="L350" s="33">
        <v>69.1666666666667</v>
      </c>
    </row>
    <row r="351" ht="14.25" customHeight="1" spans="1:12">
      <c r="A351" s="29">
        <v>3</v>
      </c>
      <c r="B351" s="30" t="str">
        <f t="shared" si="45"/>
        <v>20240322</v>
      </c>
      <c r="C351" s="31" t="str">
        <f>"2420312225"</f>
        <v>2420312225</v>
      </c>
      <c r="D351" s="31" t="str">
        <f t="shared" si="46"/>
        <v>122</v>
      </c>
      <c r="E351" s="31" t="str">
        <f>"25"</f>
        <v>25</v>
      </c>
      <c r="F351" s="32" t="s">
        <v>35</v>
      </c>
      <c r="G351" s="32">
        <v>88.5</v>
      </c>
      <c r="H351" s="33">
        <v>73.75</v>
      </c>
      <c r="I351" s="32">
        <v>73.5</v>
      </c>
      <c r="J351" s="33">
        <v>61.25</v>
      </c>
      <c r="K351" s="32"/>
      <c r="L351" s="33">
        <v>67.5</v>
      </c>
    </row>
    <row r="352" ht="14.25" customHeight="1" spans="1:12">
      <c r="A352" s="29">
        <v>4</v>
      </c>
      <c r="B352" s="30" t="str">
        <f t="shared" si="45"/>
        <v>20240322</v>
      </c>
      <c r="C352" s="31" t="str">
        <f>"2420312223"</f>
        <v>2420312223</v>
      </c>
      <c r="D352" s="31" t="str">
        <f t="shared" si="46"/>
        <v>122</v>
      </c>
      <c r="E352" s="31" t="str">
        <f>"23"</f>
        <v>23</v>
      </c>
      <c r="F352" s="32" t="s">
        <v>35</v>
      </c>
      <c r="G352" s="32">
        <v>95</v>
      </c>
      <c r="H352" s="33">
        <v>79.1666666666667</v>
      </c>
      <c r="I352" s="32">
        <v>65.5</v>
      </c>
      <c r="J352" s="33">
        <v>54.5833333333333</v>
      </c>
      <c r="K352" s="32"/>
      <c r="L352" s="33">
        <v>66.875</v>
      </c>
    </row>
    <row r="353" ht="14.25" customHeight="1" spans="1:12">
      <c r="A353" s="29">
        <v>5</v>
      </c>
      <c r="B353" s="30" t="str">
        <f t="shared" si="45"/>
        <v>20240322</v>
      </c>
      <c r="C353" s="31" t="str">
        <f>"2420312219"</f>
        <v>2420312219</v>
      </c>
      <c r="D353" s="31" t="str">
        <f t="shared" si="46"/>
        <v>122</v>
      </c>
      <c r="E353" s="31" t="str">
        <f>"19"</f>
        <v>19</v>
      </c>
      <c r="F353" s="32" t="s">
        <v>35</v>
      </c>
      <c r="G353" s="32">
        <v>79</v>
      </c>
      <c r="H353" s="33">
        <v>65.8333333333333</v>
      </c>
      <c r="I353" s="32">
        <v>76</v>
      </c>
      <c r="J353" s="33">
        <v>63.3333333333333</v>
      </c>
      <c r="K353" s="32"/>
      <c r="L353" s="33">
        <v>64.5833333333333</v>
      </c>
    </row>
    <row r="354" ht="14.25" customHeight="1" spans="1:12">
      <c r="A354" s="29">
        <v>6</v>
      </c>
      <c r="B354" s="30" t="str">
        <f t="shared" si="45"/>
        <v>20240322</v>
      </c>
      <c r="C354" s="31" t="str">
        <f>"2420312212"</f>
        <v>2420312212</v>
      </c>
      <c r="D354" s="31" t="str">
        <f t="shared" si="46"/>
        <v>122</v>
      </c>
      <c r="E354" s="31" t="str">
        <f>"12"</f>
        <v>12</v>
      </c>
      <c r="F354" s="32" t="s">
        <v>35</v>
      </c>
      <c r="G354" s="32">
        <v>77.5</v>
      </c>
      <c r="H354" s="33">
        <v>64.5833333333333</v>
      </c>
      <c r="I354" s="32">
        <v>77</v>
      </c>
      <c r="J354" s="33">
        <v>64.1666666666667</v>
      </c>
      <c r="K354" s="32"/>
      <c r="L354" s="33">
        <v>64.375</v>
      </c>
    </row>
    <row r="355" ht="14.25" customHeight="1" spans="1:12">
      <c r="A355" s="29">
        <v>7</v>
      </c>
      <c r="B355" s="30" t="str">
        <f t="shared" si="45"/>
        <v>20240322</v>
      </c>
      <c r="C355" s="31" t="str">
        <f>"2420312201"</f>
        <v>2420312201</v>
      </c>
      <c r="D355" s="31" t="str">
        <f t="shared" si="46"/>
        <v>122</v>
      </c>
      <c r="E355" s="31" t="str">
        <f>"01"</f>
        <v>01</v>
      </c>
      <c r="F355" s="32" t="s">
        <v>35</v>
      </c>
      <c r="G355" s="32">
        <v>78</v>
      </c>
      <c r="H355" s="33">
        <v>65</v>
      </c>
      <c r="I355" s="32">
        <v>75.5</v>
      </c>
      <c r="J355" s="33">
        <v>62.9166666666667</v>
      </c>
      <c r="K355" s="32"/>
      <c r="L355" s="33">
        <v>63.9583333333333</v>
      </c>
    </row>
    <row r="356" ht="14.25" customHeight="1" spans="1:12">
      <c r="A356" s="29">
        <v>8</v>
      </c>
      <c r="B356" s="30" t="str">
        <f t="shared" si="45"/>
        <v>20240322</v>
      </c>
      <c r="C356" s="31" t="str">
        <f>"2420312220"</f>
        <v>2420312220</v>
      </c>
      <c r="D356" s="31" t="str">
        <f t="shared" si="46"/>
        <v>122</v>
      </c>
      <c r="E356" s="31" t="str">
        <f>"20"</f>
        <v>20</v>
      </c>
      <c r="F356" s="32" t="s">
        <v>35</v>
      </c>
      <c r="G356" s="32">
        <v>74.5</v>
      </c>
      <c r="H356" s="33">
        <v>62.0833333333333</v>
      </c>
      <c r="I356" s="32">
        <v>72</v>
      </c>
      <c r="J356" s="33">
        <v>60</v>
      </c>
      <c r="K356" s="32"/>
      <c r="L356" s="33">
        <v>61.0416666666667</v>
      </c>
    </row>
    <row r="357" ht="14.25" customHeight="1" spans="1:12">
      <c r="A357" s="29">
        <v>9</v>
      </c>
      <c r="B357" s="30" t="str">
        <f t="shared" si="45"/>
        <v>20240322</v>
      </c>
      <c r="C357" s="31" t="str">
        <f>"2420312211"</f>
        <v>2420312211</v>
      </c>
      <c r="D357" s="31" t="str">
        <f t="shared" si="46"/>
        <v>122</v>
      </c>
      <c r="E357" s="31" t="str">
        <f>"11"</f>
        <v>11</v>
      </c>
      <c r="F357" s="32" t="s">
        <v>35</v>
      </c>
      <c r="G357" s="32">
        <v>77</v>
      </c>
      <c r="H357" s="33">
        <v>64.1666666666667</v>
      </c>
      <c r="I357" s="32">
        <v>67.5</v>
      </c>
      <c r="J357" s="33">
        <v>56.25</v>
      </c>
      <c r="K357" s="32"/>
      <c r="L357" s="33">
        <v>60.2083333333333</v>
      </c>
    </row>
    <row r="358" ht="14.25" customHeight="1" spans="1:12">
      <c r="A358" s="29">
        <v>10</v>
      </c>
      <c r="B358" s="30" t="str">
        <f t="shared" si="45"/>
        <v>20240322</v>
      </c>
      <c r="C358" s="31" t="str">
        <f>"2420312224"</f>
        <v>2420312224</v>
      </c>
      <c r="D358" s="31" t="str">
        <f t="shared" si="46"/>
        <v>122</v>
      </c>
      <c r="E358" s="31" t="str">
        <f>"24"</f>
        <v>24</v>
      </c>
      <c r="F358" s="32" t="s">
        <v>35</v>
      </c>
      <c r="G358" s="32">
        <v>76.5</v>
      </c>
      <c r="H358" s="33">
        <v>63.75</v>
      </c>
      <c r="I358" s="32">
        <v>68</v>
      </c>
      <c r="J358" s="33">
        <v>56.6666666666667</v>
      </c>
      <c r="K358" s="32"/>
      <c r="L358" s="33">
        <v>60.2083333333333</v>
      </c>
    </row>
    <row r="359" ht="14.25" customHeight="1" spans="1:12">
      <c r="A359" s="34">
        <v>1</v>
      </c>
      <c r="B359" s="35" t="str">
        <f t="shared" ref="B359:B361" si="47">"20240323"</f>
        <v>20240323</v>
      </c>
      <c r="C359" s="36" t="str">
        <f>"2420312402"</f>
        <v>2420312402</v>
      </c>
      <c r="D359" s="36" t="str">
        <f t="shared" ref="D359:D361" si="48">"124"</f>
        <v>124</v>
      </c>
      <c r="E359" s="36" t="str">
        <f>"02"</f>
        <v>02</v>
      </c>
      <c r="F359" s="37" t="s">
        <v>36</v>
      </c>
      <c r="G359" s="37">
        <v>73.5</v>
      </c>
      <c r="H359" s="38">
        <v>61.25</v>
      </c>
      <c r="I359" s="37">
        <v>83</v>
      </c>
      <c r="J359" s="38">
        <v>69.1666666666667</v>
      </c>
      <c r="K359" s="37"/>
      <c r="L359" s="38">
        <v>65.2083333333333</v>
      </c>
    </row>
    <row r="360" ht="14.25" customHeight="1" spans="1:12">
      <c r="A360" s="34">
        <v>2</v>
      </c>
      <c r="B360" s="35" t="str">
        <f t="shared" si="47"/>
        <v>20240323</v>
      </c>
      <c r="C360" s="36" t="str">
        <f>"2420312404"</f>
        <v>2420312404</v>
      </c>
      <c r="D360" s="36" t="str">
        <f t="shared" si="48"/>
        <v>124</v>
      </c>
      <c r="E360" s="36" t="str">
        <f>"04"</f>
        <v>04</v>
      </c>
      <c r="F360" s="37" t="s">
        <v>36</v>
      </c>
      <c r="G360" s="37">
        <v>67</v>
      </c>
      <c r="H360" s="38">
        <v>55.8333333333333</v>
      </c>
      <c r="I360" s="37">
        <v>87</v>
      </c>
      <c r="J360" s="38">
        <v>72.5</v>
      </c>
      <c r="K360" s="37"/>
      <c r="L360" s="38">
        <v>64.1666666666667</v>
      </c>
    </row>
    <row r="361" ht="14.25" customHeight="1" spans="1:12">
      <c r="A361" s="34">
        <v>3</v>
      </c>
      <c r="B361" s="35" t="str">
        <f t="shared" si="47"/>
        <v>20240323</v>
      </c>
      <c r="C361" s="36" t="str">
        <f>"2420312401"</f>
        <v>2420312401</v>
      </c>
      <c r="D361" s="36" t="str">
        <f t="shared" si="48"/>
        <v>124</v>
      </c>
      <c r="E361" s="36" t="str">
        <f>"01"</f>
        <v>01</v>
      </c>
      <c r="F361" s="37" t="s">
        <v>36</v>
      </c>
      <c r="G361" s="37">
        <v>81.5</v>
      </c>
      <c r="H361" s="38">
        <v>67.9166666666667</v>
      </c>
      <c r="I361" s="37">
        <v>70</v>
      </c>
      <c r="J361" s="38">
        <v>58.3333333333333</v>
      </c>
      <c r="K361" s="37"/>
      <c r="L361" s="38">
        <v>63.125</v>
      </c>
    </row>
    <row r="362" ht="14.25" customHeight="1" spans="1:12">
      <c r="A362" s="9">
        <v>1</v>
      </c>
      <c r="B362" s="13" t="str">
        <f t="shared" ref="B362:B364" si="49">"20240324"</f>
        <v>20240324</v>
      </c>
      <c r="C362" s="10" t="str">
        <f>"2420312528"</f>
        <v>2420312528</v>
      </c>
      <c r="D362" s="10" t="str">
        <f>"125"</f>
        <v>125</v>
      </c>
      <c r="E362" s="10" t="str">
        <f>"28"</f>
        <v>28</v>
      </c>
      <c r="F362" s="11" t="s">
        <v>37</v>
      </c>
      <c r="G362" s="11">
        <v>90</v>
      </c>
      <c r="H362" s="12">
        <v>75</v>
      </c>
      <c r="I362" s="11">
        <v>76.9</v>
      </c>
      <c r="J362" s="12">
        <v>64.0833333333333</v>
      </c>
      <c r="K362" s="11"/>
      <c r="L362" s="12">
        <v>69.5416666666667</v>
      </c>
    </row>
    <row r="363" ht="14.25" customHeight="1" spans="1:12">
      <c r="A363" s="9">
        <v>2</v>
      </c>
      <c r="B363" s="13" t="str">
        <f t="shared" si="49"/>
        <v>20240324</v>
      </c>
      <c r="C363" s="10" t="str">
        <f>"2420312614"</f>
        <v>2420312614</v>
      </c>
      <c r="D363" s="10" t="str">
        <f t="shared" ref="D363:D366" si="50">"126"</f>
        <v>126</v>
      </c>
      <c r="E363" s="10" t="str">
        <f>"14"</f>
        <v>14</v>
      </c>
      <c r="F363" s="11" t="s">
        <v>37</v>
      </c>
      <c r="G363" s="11">
        <v>92</v>
      </c>
      <c r="H363" s="12">
        <v>76.6666666666667</v>
      </c>
      <c r="I363" s="11">
        <v>70.3</v>
      </c>
      <c r="J363" s="12">
        <v>58.5833333333333</v>
      </c>
      <c r="K363" s="11"/>
      <c r="L363" s="12">
        <v>67.625</v>
      </c>
    </row>
    <row r="364" ht="14.25" customHeight="1" spans="1:12">
      <c r="A364" s="9">
        <v>3</v>
      </c>
      <c r="B364" s="13" t="str">
        <f t="shared" si="49"/>
        <v>20240324</v>
      </c>
      <c r="C364" s="10" t="str">
        <f>"2420312628"</f>
        <v>2420312628</v>
      </c>
      <c r="D364" s="10" t="str">
        <f t="shared" si="50"/>
        <v>126</v>
      </c>
      <c r="E364" s="10" t="str">
        <f>"28"</f>
        <v>28</v>
      </c>
      <c r="F364" s="11" t="s">
        <v>37</v>
      </c>
      <c r="G364" s="11">
        <v>76.5</v>
      </c>
      <c r="H364" s="12">
        <v>63.75</v>
      </c>
      <c r="I364" s="11">
        <v>83.1</v>
      </c>
      <c r="J364" s="12">
        <v>69.25</v>
      </c>
      <c r="K364" s="11"/>
      <c r="L364" s="12">
        <v>66.5</v>
      </c>
    </row>
    <row r="365" ht="14.25" customHeight="1" spans="1:12">
      <c r="A365" s="44">
        <v>1</v>
      </c>
      <c r="B365" s="45" t="str">
        <f t="shared" ref="B365:B367" si="51">"20240325"</f>
        <v>20240325</v>
      </c>
      <c r="C365" s="45" t="str">
        <f>"2410312407"</f>
        <v>2410312407</v>
      </c>
      <c r="D365" s="45" t="str">
        <f>"124"</f>
        <v>124</v>
      </c>
      <c r="E365" s="45" t="str">
        <f>"07"</f>
        <v>07</v>
      </c>
      <c r="F365" s="46" t="s">
        <v>38</v>
      </c>
      <c r="G365" s="46">
        <v>79</v>
      </c>
      <c r="H365" s="47">
        <v>65.8333333333333</v>
      </c>
      <c r="I365" s="46">
        <v>85.8</v>
      </c>
      <c r="J365" s="47">
        <v>71.5</v>
      </c>
      <c r="K365" s="46"/>
      <c r="L365" s="47">
        <v>68.6666666666667</v>
      </c>
    </row>
    <row r="366" ht="14.25" customHeight="1" spans="1:12">
      <c r="A366" s="44">
        <v>2</v>
      </c>
      <c r="B366" s="45" t="str">
        <f t="shared" si="51"/>
        <v>20240325</v>
      </c>
      <c r="C366" s="45" t="str">
        <f>"2410312610"</f>
        <v>2410312610</v>
      </c>
      <c r="D366" s="45" t="str">
        <f t="shared" si="50"/>
        <v>126</v>
      </c>
      <c r="E366" s="45" t="str">
        <f>"10"</f>
        <v>10</v>
      </c>
      <c r="F366" s="46" t="s">
        <v>38</v>
      </c>
      <c r="G366" s="46">
        <v>76.5</v>
      </c>
      <c r="H366" s="47">
        <v>63.75</v>
      </c>
      <c r="I366" s="46">
        <v>85.5</v>
      </c>
      <c r="J366" s="47">
        <v>71.25</v>
      </c>
      <c r="K366" s="46"/>
      <c r="L366" s="47">
        <v>67.5</v>
      </c>
    </row>
    <row r="367" ht="14.25" customHeight="1" spans="1:12">
      <c r="A367" s="44">
        <v>3</v>
      </c>
      <c r="B367" s="45" t="str">
        <f t="shared" si="51"/>
        <v>20240325</v>
      </c>
      <c r="C367" s="45" t="str">
        <f>"2410312402"</f>
        <v>2410312402</v>
      </c>
      <c r="D367" s="45" t="str">
        <f>"124"</f>
        <v>124</v>
      </c>
      <c r="E367" s="45" t="str">
        <f>"02"</f>
        <v>02</v>
      </c>
      <c r="F367" s="46" t="s">
        <v>38</v>
      </c>
      <c r="G367" s="46">
        <v>70</v>
      </c>
      <c r="H367" s="47">
        <v>58.3333333333333</v>
      </c>
      <c r="I367" s="46">
        <v>88.7</v>
      </c>
      <c r="J367" s="47">
        <v>73.9166666666667</v>
      </c>
      <c r="K367" s="46"/>
      <c r="L367" s="47">
        <v>66.125</v>
      </c>
    </row>
  </sheetData>
  <mergeCells count="1">
    <mergeCell ref="B1:L1"/>
  </mergeCells>
  <conditionalFormatting sqref="C2:C36">
    <cfRule type="expression" dxfId="0" priority="25">
      <formula>AND(SUMPRODUCT(IFERROR(1*(($C$2:$C$36&amp;"x")=(C2&amp;"x")),0))&gt;1,NOT(ISBLANK(C2)))</formula>
    </cfRule>
  </conditionalFormatting>
  <conditionalFormatting sqref="C37:C67">
    <cfRule type="expression" dxfId="0" priority="24">
      <formula>AND(SUMPRODUCT(IFERROR(1*(($C$37:$C$67&amp;"x")=(C37&amp;"x")),0))&gt;1,NOT(ISBLANK(C37)))</formula>
    </cfRule>
  </conditionalFormatting>
  <conditionalFormatting sqref="C68:C76">
    <cfRule type="expression" dxfId="0" priority="23">
      <formula>AND(SUMPRODUCT(IFERROR(1*(($C$68:$C$76&amp;"x")=(C68&amp;"x")),0))&gt;1,NOT(ISBLANK(C68)))</formula>
    </cfRule>
  </conditionalFormatting>
  <conditionalFormatting sqref="C77:C82">
    <cfRule type="expression" dxfId="0" priority="22">
      <formula>AND(SUMPRODUCT(IFERROR(1*(($C$77:$C$82&amp;"x")=(C77&amp;"x")),0))&gt;1,NOT(ISBLANK(C77)))</formula>
    </cfRule>
  </conditionalFormatting>
  <conditionalFormatting sqref="C83:C96">
    <cfRule type="expression" dxfId="0" priority="21">
      <formula>AND(SUMPRODUCT(IFERROR(1*(($C$83:$C$96&amp;"x")=(C83&amp;"x")),0))&gt;1,NOT(ISBLANK(C83)))</formula>
    </cfRule>
  </conditionalFormatting>
  <conditionalFormatting sqref="C97:C123">
    <cfRule type="expression" dxfId="0" priority="20">
      <formula>AND(SUMPRODUCT(IFERROR(1*(($C$97:$C$123&amp;"x")=(C97&amp;"x")),0))&gt;1,NOT(ISBLANK(C97)))</formula>
    </cfRule>
  </conditionalFormatting>
  <conditionalFormatting sqref="C124:C150">
    <cfRule type="expression" dxfId="0" priority="19">
      <formula>AND(SUMPRODUCT(IFERROR(1*(($C$124:$C$150&amp;"x")=(C124&amp;"x")),0))&gt;1,NOT(ISBLANK(C124)))</formula>
    </cfRule>
  </conditionalFormatting>
  <conditionalFormatting sqref="C151:C174">
    <cfRule type="expression" dxfId="0" priority="18">
      <formula>AND(SUMPRODUCT(IFERROR(1*(($C$151:$C$174&amp;"x")=(C151&amp;"x")),0))&gt;1,NOT(ISBLANK(C151)))</formula>
    </cfRule>
  </conditionalFormatting>
  <conditionalFormatting sqref="C175:C204">
    <cfRule type="expression" dxfId="0" priority="17">
      <formula>AND(SUMPRODUCT(IFERROR(1*(($C$175:$C$204&amp;"x")=(C175&amp;"x")),0))&gt;1,NOT(ISBLANK(C175)))</formula>
    </cfRule>
  </conditionalFormatting>
  <conditionalFormatting sqref="C205:C224">
    <cfRule type="expression" dxfId="0" priority="16">
      <formula>AND(SUMPRODUCT(IFERROR(1*(($C$205:$C$224&amp;"x")=(C205&amp;"x")),0))&gt;1,NOT(ISBLANK(C205)))</formula>
    </cfRule>
  </conditionalFormatting>
  <conditionalFormatting sqref="C225:C246">
    <cfRule type="expression" dxfId="0" priority="15">
      <formula>AND(SUMPRODUCT(IFERROR(1*(($C$225:$C$246&amp;"x")=(C225&amp;"x")),0))&gt;1,NOT(ISBLANK(C225)))</formula>
    </cfRule>
  </conditionalFormatting>
  <conditionalFormatting sqref="C247:C255">
    <cfRule type="expression" dxfId="0" priority="2">
      <formula>AND(SUMPRODUCT(IFERROR(1*(($C$247:$C$255&amp;"x")=(C247&amp;"x")),0))&gt;1,NOT(ISBLANK(C247)))</formula>
    </cfRule>
  </conditionalFormatting>
  <conditionalFormatting sqref="C256:C273">
    <cfRule type="expression" dxfId="0" priority="14">
      <formula>AND(SUMPRODUCT(IFERROR(1*(($C$256:$C$273&amp;"x")=(C256&amp;"x")),0))&gt;1,NOT(ISBLANK(C256)))</formula>
    </cfRule>
  </conditionalFormatting>
  <conditionalFormatting sqref="C274:C291">
    <cfRule type="expression" dxfId="0" priority="13">
      <formula>AND(SUMPRODUCT(IFERROR(1*(($C$274:$C$291&amp;"x")=(C274&amp;"x")),0))&gt;1,NOT(ISBLANK(C274)))</formula>
    </cfRule>
  </conditionalFormatting>
  <conditionalFormatting sqref="C292:C309">
    <cfRule type="expression" dxfId="0" priority="12">
      <formula>AND(SUMPRODUCT(IFERROR(1*(($C$292:$C$309&amp;"x")=(C292&amp;"x")),0))&gt;1,NOT(ISBLANK(C292)))</formula>
    </cfRule>
  </conditionalFormatting>
  <conditionalFormatting sqref="C310:C315">
    <cfRule type="expression" dxfId="0" priority="11">
      <formula>AND(SUMPRODUCT(IFERROR(1*(($C$310:$C$315&amp;"x")=(C310&amp;"x")),0))&gt;1,NOT(ISBLANK(C310)))</formula>
    </cfRule>
  </conditionalFormatting>
  <conditionalFormatting sqref="C316:C324">
    <cfRule type="expression" dxfId="0" priority="10">
      <formula>AND(SUMPRODUCT(IFERROR(1*(($C$316:$C$324&amp;"x")=(C316&amp;"x")),0))&gt;1,NOT(ISBLANK(C316)))</formula>
    </cfRule>
  </conditionalFormatting>
  <conditionalFormatting sqref="C325:C333">
    <cfRule type="expression" dxfId="0" priority="9">
      <formula>AND(SUMPRODUCT(IFERROR(1*(($C$325:$C$333&amp;"x")=(C325&amp;"x")),0))&gt;1,NOT(ISBLANK(C325)))</formula>
    </cfRule>
  </conditionalFormatting>
  <conditionalFormatting sqref="C334:C335">
    <cfRule type="expression" dxfId="0" priority="8">
      <formula>AND(SUMPRODUCT(IFERROR(1*(($C$334:$C$335&amp;"x")=(C334&amp;"x")),0))&gt;1,NOT(ISBLANK(C334)))</formula>
    </cfRule>
  </conditionalFormatting>
  <conditionalFormatting sqref="C336:C342">
    <cfRule type="expression" dxfId="0" priority="7">
      <formula>AND(SUMPRODUCT(IFERROR(1*(($C$336:$C$342&amp;"x")=(C336&amp;"x")),0))&gt;1,NOT(ISBLANK(C336)))</formula>
    </cfRule>
  </conditionalFormatting>
  <conditionalFormatting sqref="C343:C348">
    <cfRule type="expression" dxfId="0" priority="6">
      <formula>AND(SUMPRODUCT(IFERROR(1*(($C$343:$C$348&amp;"x")=(C343&amp;"x")),0))&gt;1,NOT(ISBLANK(C343)))</formula>
    </cfRule>
  </conditionalFormatting>
  <conditionalFormatting sqref="C349:C358">
    <cfRule type="expression" dxfId="0" priority="5">
      <formula>AND(SUMPRODUCT(IFERROR(1*(($C$349:$C$358&amp;"x")=(C349&amp;"x")),0))&gt;1,NOT(ISBLANK(C349)))</formula>
    </cfRule>
  </conditionalFormatting>
  <conditionalFormatting sqref="C359:C361">
    <cfRule type="expression" dxfId="0" priority="4">
      <formula>AND(SUMPRODUCT(IFERROR(1*(($C$359:$C$361&amp;"x")=(C359&amp;"x")),0))&gt;1,NOT(ISBLANK(C359)))</formula>
    </cfRule>
  </conditionalFormatting>
  <conditionalFormatting sqref="C362:C364">
    <cfRule type="expression" dxfId="0" priority="3">
      <formula>AND(SUMPRODUCT(IFERROR(1*(($C$362:$C$364&amp;"x")=(C362&amp;"x")),0))&gt;1,NOT(ISBLANK(C362)))</formula>
    </cfRule>
  </conditionalFormatting>
  <conditionalFormatting sqref="C365:C367">
    <cfRule type="expression" dxfId="0" priority="1">
      <formula>AND(SUMPRODUCT(IFERROR(1*(($C$365:$C$367&amp;"x")=(C365&amp;"x")),0))&gt;1,NOT(ISBLANK(C365)))</formula>
    </cfRule>
  </conditionalFormatting>
  <pageMargins left="0.354166666666667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晴玉</cp:lastModifiedBy>
  <dcterms:created xsi:type="dcterms:W3CDTF">2024-07-18T09:01:00Z</dcterms:created>
  <dcterms:modified xsi:type="dcterms:W3CDTF">2024-07-22T03:17:38Z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6F7207FE76244B86B5909B3F317D112D_11</vt:lpwstr>
  </property>
  <property fmtid="{D5CDD505-2E9C-101B-9397-08002B2CF9AE}" pid="3" name="KSOProductBuildVer">
    <vt:lpwstr>2052-12.1.0.16929</vt:lpwstr>
  </property>
</Properties>
</file>