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1" activeTab="1"/>
  </bookViews>
  <sheets>
    <sheet name="瑶海幼教" sheetId="1" r:id="rId1"/>
    <sheet name="CJ" sheetId="2" r:id="rId2"/>
  </sheets>
  <definedNames>
    <definedName name="_xlnm._FilterDatabase" localSheetId="1" hidden="1">'CJ'!$A$1:$F$65</definedName>
    <definedName name="_xlnm._FilterDatabase" localSheetId="0" hidden="1">'瑶海幼教'!$A$1:$AP$222</definedName>
  </definedNames>
  <calcPr fullCalcOnLoad="1"/>
</workbook>
</file>

<file path=xl/sharedStrings.xml><?xml version="1.0" encoding="utf-8"?>
<sst xmlns="http://schemas.openxmlformats.org/spreadsheetml/2006/main" count="934" uniqueCount="405">
  <si>
    <t>报考号</t>
  </si>
  <si>
    <t>报考岗位</t>
  </si>
  <si>
    <t>姓名</t>
  </si>
  <si>
    <t>性别</t>
  </si>
  <si>
    <t>出生年月</t>
  </si>
  <si>
    <t>籍贯</t>
  </si>
  <si>
    <t>民族</t>
  </si>
  <si>
    <t>政治面貌</t>
  </si>
  <si>
    <t>身份证号码</t>
  </si>
  <si>
    <t>婚姻状况</t>
  </si>
  <si>
    <t>最高学历</t>
  </si>
  <si>
    <t>最高学位</t>
  </si>
  <si>
    <t>最高学历所学专业</t>
  </si>
  <si>
    <t>最高学历毕业院校</t>
  </si>
  <si>
    <t>最高学历毕业时间</t>
  </si>
  <si>
    <t>第一学历</t>
  </si>
  <si>
    <t>第一学位</t>
  </si>
  <si>
    <t>第一学历所学专业</t>
  </si>
  <si>
    <t>第一学历毕业院校</t>
  </si>
  <si>
    <t>第一学历毕业时间</t>
  </si>
  <si>
    <t>资格证书</t>
  </si>
  <si>
    <t>相关工作经验年限</t>
  </si>
  <si>
    <t>取得职称</t>
  </si>
  <si>
    <t>是否全日制</t>
  </si>
  <si>
    <t>现工作单位</t>
  </si>
  <si>
    <t>联系电话</t>
  </si>
  <si>
    <t>常住住址</t>
  </si>
  <si>
    <t>本人教育、 工作简历（从高中起））</t>
  </si>
  <si>
    <t>奖惩情况</t>
  </si>
  <si>
    <t>特长及爱好</t>
  </si>
  <si>
    <t>家庭主要成员</t>
  </si>
  <si>
    <t>复审时间</t>
  </si>
  <si>
    <t>审核状态</t>
  </si>
  <si>
    <t>缴费状态</t>
  </si>
  <si>
    <t>准考证打印次数</t>
  </si>
  <si>
    <t>准考证号</t>
  </si>
  <si>
    <t>座位号</t>
  </si>
  <si>
    <t>考点名称</t>
  </si>
  <si>
    <t>考点地址</t>
  </si>
  <si>
    <t>考点号</t>
  </si>
  <si>
    <t>排序号</t>
  </si>
  <si>
    <t>IP地址</t>
  </si>
  <si>
    <t>注册时间</t>
  </si>
  <si>
    <t>103_后勤主任</t>
  </si>
  <si>
    <t>104_幼儿教师</t>
  </si>
  <si>
    <t>="2006年9月---2012年之间多次荣获园内优秀教师称号。
2014年7月在瑶海区幼儿园2012年--2014学年“优秀班级评选中”，荣获“优秀班级”称号。
2014年5月参加瑶海区第四届德育文化艺术节“展舞姿”比赛，荣获指导一等奖。
2014年5月参加瑶海区第四届德育文化艺术节“扬歌声”比赛，荣获指导二等奖。
2014年5月参加瑶海区第四届德育文化艺术节“动巧手”活动，荣获师生绘画类二等奖。
2015年10月参加瑶海区第四届德育文化艺术节“动巧手”活动，荣获师生绘画类一等奖。
2015年11月参加瑶海区教师自制玩教具比赛，荣获一等奖。
2016年6月参加瑶海区第六届德育文化艺术节“展舞姿”比赛，荣获指导一等奖。
2017年5月参加瑶海区第七届德育文化艺术节“展舞姿”比赛，荣获指导特等奖。
"</t>
  </si>
  <si>
    <t>102_业务主任</t>
  </si>
  <si>
    <t>="2020.09 - 2022.07
幼儿教育学、幼儿心理学、卫生学、幼儿园班级管理、美术等等
2017.09 - 2019.07
1.负责制定教学计划，组织实施一日教学及生活常规；
2.参加各类教研工作，认真备课，准备教案，教具等。不断钻研提高教育教学质量；
3.负责环创工作，有主题有特色的布置班级环境，并积极参与园区环境设计工作；
4.负责定期与家长沟通，主动向家长传递教学理念，实现家园共育。
2022.04 - 2022.07
1.负责幼儿日常教育教学工作；
2.对幼儿和蔼和亲，耐心、关心、细心、热心的团结全班老师一道落实幼儿园保教工作目标；
3.负责完成本班教学工作任务，做好备课、教学、环境布置等工作；
4.协助保育员保持幼儿生活环境的整洁有序；
5.负责收集、整理教育资料，并及时归档。
"</t>
  </si>
  <si>
    <t>="1.2021年11月荣获省级“三下乡”社会实践活动优秀个人
2.2022年1月荣获大学生文化艺术校园舞蹈大赛“第八名”
3.2021年12月荣获2020--2021学年度本专科生国家励志奖学金
4.2022年10月荣获2021--2022学年国家奖学金
5.2021年12月荣获安徽城市管理职业学院优秀学生奖学金“一等奖”
6.2021年12月荣获安徽城市管理职业学院单项奖学金“三等奖”
7.2021年12月荣获安徽城市管理职业学院校级“优秀学生干部”
8.2021年5月荣获安徽城市管理职业学院“优秀团员”称号秀个人
9.2021年12月荣获安徽城市管理职业学院40周年校庆优秀个人(学生)
10.2020年12月参加朗诵《中国脊梁》“一等奖”
11.2022年6月荣获安徽城市管理职业学院“诚信自强之星”
12.2022年4月荣获安徽城市管理职业学院学前教育学院“担当奉献好青年”称号
13.2022年6月校合唱比赛”一等奖”
14.2022年5月荣获安徽城市管理职业学院2021年度“优秀志愿者”称号
15.2021年12月荣获中国预防性病艾滋病基金会“优秀志愿者”“优秀组织者”称号
16.2022年6月荣获第六届大学生环保知识竞赛“优秀志愿者”“优秀组织者”称号
17.2021年5月取得“幼儿园教师资格证”
18.2021年10月取得北京舞蹈学院中国舞蹈教师资格证1--3级，4-5级"</t>
  </si>
  <si>
    <t>101_执行园长</t>
  </si>
  <si>
    <t>="2017年包河区师德演讲比赛获“二等奖”
2019年包河区第五届幼儿青年教师技能技巧大赛 获“个人全功能特等奖”
2019年包河区第五届幼儿青年教师技能技巧大赛“弹唱”获“一等奖”
2019年包河区第五届幼儿青年教师技能技巧大赛“讲故事”获 “二等奖”
2019年包河区第五届幼儿青年教师技能技巧大赛 “绘画手工”获二等奖”
2020年评为包河区幼儿园“优秀班主任”
2021年所带班级评为包河区幼儿园“先进集体”
2021年所带班级评为包河区幼儿园“先进集体”
2021年制作玩教具“光与影”获包河区三等奖
2022年撰写的章《传统戏曲融入幼儿艺术教育的实践研究》刊登《教育》杂志"</t>
  </si>
  <si>
    <t>="2008年庐阳区教育论文一等奖
2009年庐阳区教育论文一等奖
2013年全国青少年大赛辅导一等奖
2018年荣获包河区先进班集体
2019年荣获优秀班主任
2017-2020年担任全园以及年级教研组长
2017年、2018年、2019年三年分别荣获幼儿园年度优秀个人
2018年、2019年分别担任园区园本培训分享讲师
2019年包河区信息技术应用课堂教学展示评比二等奖
2019年民间体育游戏活动包河区三等奖，合肥市民间体育游戏三等奖
2021年论文“利用多媒体课件优化幼儿园数学活动”发表与杂志《读与写》书籍中
2021年在集团得优秀讲师称号"</t>
  </si>
  <si>
    <t>="2012.3-2014.7   合肥学院 （函授）学生
2015.3-2017.7    合肥学院 （函授）学生
附：
2011.3-2012.7     合力叉车幼儿园 （ 实习，保育员，教师）
2012.9-2016.3     碧雨幼儿园      （教师，班主任）
2016.6-2017.6     上海聚界艺术品有限公司  （人事助理）
2017.7-2018.7      弈学园    （ 围棋启蒙老师）
2021.7-2022.9     水木兰幼儿园 （班主任，兼职保教副园长）
2023.3-至今          中国电信     （ 专员）
"</t>
  </si>
  <si>
    <t>="获奖情况：
★2016年参与肥东县教研活动，组织开展中班健康课《男生女生向前冲》荣获一等奖
★2017年参与指导肥东县幼儿“科学乐”比寒中，指导的《水晶章鱼吊灯》荣获一等奖
★2018年参与“潮童大赛”指导编排幼儿舞蹈节目《大中国》荣获一等奖
★2018年参加合肥市园长高端班培训，经考验合格获培训证书
★2020年参与教师基本工舞蹈比赛三等奖
★2020年获华英幼教机构“讲故事基本功”比赛荣获一等奖
★2021年获“新站高新区幼儿园教玩具”一等奖
★2022年获“新站高新区第九届民间趣味体育游戏”二等奖
★多次荣获优秀教师、优秀班主任称号"</t>
  </si>
  <si>
    <t>="2016年全国幼儿园绘画展指导教师一等奖；
2017年合肥市铜陵新村幼儿园教师课堂评比一等奖；
2017年合肥市铜陵新村幼儿园教师论文评比一等奖；
工作业绩：
2014.9-2017.6参与合肥瑶海和平家园幼儿园市级一类幼儿园迎评工作；
2020年指导教师获得合肥市瑶海区教师微游戏三等奖；
2020年指导教师获得合肥市美术基本功大赛市级一等奖；
2021年参加合肥市瑶海区“游戏环境创设与材料投放”展示；
2020.9-2022.8合肥瑶海京狮春暖花开幼儿园迎评市一类幼儿园；
春暖园市级课题组成员：《利用社区资源开展幼儿园主题活动的实践研究》负责制定课题的实施计划，指导教师梳理、撰写课题主题活动案例和论文及过程性资料收集；
"</t>
  </si>
  <si>
    <t>="2012.9-2015.7.       肥西师范学校         学生
2015.9-2017.7.       合肥师范学院          学生
2019.3-2021.7.       安徽师范大学          学生
2017.7-2019.6.       名士豪庭幼儿园       员工
2019.7-2021.7.       安徽格灵兰品牌运营管理有限公司      员工
2021.9-2022.7.      中银金融商务有限公司合肥分公司       员工
2022.7-至今           合肥东新文化旅游投资有限公司           员工"</t>
  </si>
  <si>
    <t>="2021年合肥市“能者为师”一等奖
全国第七届中小学艺术展演舞蹈类指导一等奖
第十一届安徽省少儿舞蹈汇演指导一等奖
2021年安徽省“六一”少儿文艺调演指导一等奖
第三届安徽省群星奖指导一等奖
2021年合肥市庆“六一”少儿文艺专场演出指导一等奖
合肥市第十二届中小学文化艺术节舞蹈展演指导一等奖
2015年合肥市职业院校技能大赛中职组中国舞表演一等奖
2017年安徽省职业院校技能大赛高职组中国舞表演二等奖
2019年安徽省大学生体育联赛啦啦操比赛一等奖
2019年安徽省大学生体育联赛啦啦操比赛三等奖
2019年安徽省大学生体育联赛“个人体育道德风尚奖”
第十届中华文化五洲行安徽专业组金奖
第十二届海峡两岸青少年艺术节专业组金奖
第十一届海峡两岸青少年艺术节优秀教师指导奖
第十三届五洲行国际青少年艺术节优秀教师指导奖"</t>
  </si>
  <si>
    <t>="1993-09-01至1996-07-01商丘市第一中学
1996-09-01至1999-07-01河南省财经学校 幼教专业
1999-09-01至2002-07-01河南省牧业高等专科学校 动物科学专业
2013-03-01至2015-07-01合肥师范学院 学前教育专业
2003.2—2014.4 合肥市大西门幼儿园(庐阳区省一类园)，担任教师。
2014.6一至今 合肥市直属机关幼儿园(庐阳区市一类园)，陆续担任教研组长、园长助理，自2018年9月-至今，担任园长助理并兼任业务园长工作(园内业务园长空缺)。"</t>
  </si>
  <si>
    <t>="荣誉称号
2012年获合肥市“优秀班集体”
2015年获瑶海区“优秀教师称号”
2017年获瑶海区“优秀班级”
教学类获奖
2009年获瑶海区第一届师德演讲比赛第一名
2010年指导幼儿诗歌朗诵比赛获瑶海区一等奖
2011年获教师课堂教学评比二等奖
2012年参加合肥市“十年课改”展示活动获优秀展示奖
2013年获瑶海区第二届师德演讲比赛一等奖                                            
2013年指导幼儿讲故事比赛获新站区一等奖
2014年参加合肥市幼儿“定向运动” 活动获优秀组织奖
2014年获合肥市论文二等奖
2014年指导幼儿讲故事比赛获瑶海区一等奖
2015年指导幼儿大合唱获瑶海区一等奖
2017年参加瑶海区课堂教学评比获一等奖
2017年参加瑶海区教师教案设计比赛获一等奖
2018年撰写的论文获瑶海区一等奖（合肥市二等奖）
2019 年指导幼儿民间游戏“跳竹竿”获瑶海区一等奖"</t>
  </si>
  <si>
    <t>="2007获儿童画教师指导全国二等奖
2008论文《行为习惯之我见》庐阳区一等奖  
2012、2015二次获得庐阳区优秀班级
2016蜀山区教师基本功大赛三等奖
2018园级最美教师、科研课题立项书撰写和开题报告汇报
2019科研课题中期小结、奕阳优秀教案全国三等奖 优秀教师
2020 《白衣天使我爱您》获奕阳全国优秀自制绘本指导奖 《主题背景下阅读区绘本投放及推进》 教育随笔《跳出力量 “绳”彩飞扬》打击乐《拔根芦柴花》均获全国第十六届幼师技能大赛一等奖
2021获高新区优秀教辅
2022 大型活动方案 《爱在重阳温暖四方》、《乘虎年之威拾中国记忆》、《国强民安祖国妈妈生日快乐》和案例分析《勇过轮胎炮台》获第二十届‘当代杯’全国幼师技能大赛二等奖 、三等奖"</t>
  </si>
  <si>
    <t>="&amp;#8226; 2018-2019学年度  国家励志奖学金 
&amp;#8226; 2018-2019学年度  道德风尚奖学金
&amp;#8226; 2018-2019学年度  校园文化建设奖学金     
&amp;#8226; 2018-2019学年度  优秀学生干部称号
&amp;#8226; 2019-2020学年度  国家励志奖学金         
&amp;#8226; 2019-2020学年度  三好学生称号
&amp;#8226; 2020-2021学年度  国家励志奖学金         
&amp;#8226; 2020-2021学年度  三好学生称号
&amp;#8226; 2020-2021学年度  教育学院“四史微课堂”活动优秀奖
&amp;#8226; 2020-2021学年度  辽宁师范大学教育学院第22届“大学生华彩奖”敬业奉献奖"</t>
  </si>
  <si>
    <t>202303110101</t>
  </si>
  <si>
    <t>202303110102</t>
  </si>
  <si>
    <t>202303110103</t>
  </si>
  <si>
    <t>202303110104</t>
  </si>
  <si>
    <t>202303110105</t>
  </si>
  <si>
    <t>202303110106</t>
  </si>
  <si>
    <t>202303110107</t>
  </si>
  <si>
    <t>202303110108</t>
  </si>
  <si>
    <t>202303110109</t>
  </si>
  <si>
    <t>202303110110</t>
  </si>
  <si>
    <t>202303110111</t>
  </si>
  <si>
    <t>202303110112</t>
  </si>
  <si>
    <t>202303110113</t>
  </si>
  <si>
    <t>202303110114</t>
  </si>
  <si>
    <t>202303110115</t>
  </si>
  <si>
    <t>202303110116</t>
  </si>
  <si>
    <t>202303110117</t>
  </si>
  <si>
    <t>202303110118</t>
  </si>
  <si>
    <t>202303110119</t>
  </si>
  <si>
    <t>202303110120</t>
  </si>
  <si>
    <t>202303110121</t>
  </si>
  <si>
    <t>202303110122</t>
  </si>
  <si>
    <t>202303110123</t>
  </si>
  <si>
    <t>202303110124</t>
  </si>
  <si>
    <t>202303110125</t>
  </si>
  <si>
    <t>202303110126</t>
  </si>
  <si>
    <t>202303110127</t>
  </si>
  <si>
    <t>202303110128</t>
  </si>
  <si>
    <t>202303110129</t>
  </si>
  <si>
    <t>202303110130</t>
  </si>
  <si>
    <t>202303110201</t>
  </si>
  <si>
    <t>202303110202</t>
  </si>
  <si>
    <t>202303110203</t>
  </si>
  <si>
    <t>202303110204</t>
  </si>
  <si>
    <t>202303110205</t>
  </si>
  <si>
    <t>202303110206</t>
  </si>
  <si>
    <t>202303110207</t>
  </si>
  <si>
    <t>202303110208</t>
  </si>
  <si>
    <t>202303110209</t>
  </si>
  <si>
    <t>202303110210</t>
  </si>
  <si>
    <t>202303110211</t>
  </si>
  <si>
    <t>202303110212</t>
  </si>
  <si>
    <t>202303110213</t>
  </si>
  <si>
    <t>202303110214</t>
  </si>
  <si>
    <t>202303110215</t>
  </si>
  <si>
    <t>202303110216</t>
  </si>
  <si>
    <t>202303110217</t>
  </si>
  <si>
    <t>202303110218</t>
  </si>
  <si>
    <t>202303110219</t>
  </si>
  <si>
    <t>202303110220</t>
  </si>
  <si>
    <t>202303110221</t>
  </si>
  <si>
    <t>202303110222</t>
  </si>
  <si>
    <t>202303110223</t>
  </si>
  <si>
    <t>202303110224</t>
  </si>
  <si>
    <t>202303110225</t>
  </si>
  <si>
    <t>202303110226</t>
  </si>
  <si>
    <t>202303110227</t>
  </si>
  <si>
    <t>202303110228</t>
  </si>
  <si>
    <t>202303110229</t>
  </si>
  <si>
    <t>202303110230</t>
  </si>
  <si>
    <t>202303110301</t>
  </si>
  <si>
    <t>202303110302</t>
  </si>
  <si>
    <t>202303110303</t>
  </si>
  <si>
    <t>202303110304</t>
  </si>
  <si>
    <t>202303110305</t>
  </si>
  <si>
    <t>202303110306</t>
  </si>
  <si>
    <t>202303110307</t>
  </si>
  <si>
    <t>202303110308</t>
  </si>
  <si>
    <t>202303110309</t>
  </si>
  <si>
    <t>202303110310</t>
  </si>
  <si>
    <t>202303110311</t>
  </si>
  <si>
    <t>202303110312</t>
  </si>
  <si>
    <t>202303110313</t>
  </si>
  <si>
    <t>202303110314</t>
  </si>
  <si>
    <t>202303110315</t>
  </si>
  <si>
    <t>202303110316</t>
  </si>
  <si>
    <t>202303110317</t>
  </si>
  <si>
    <t>202303110318</t>
  </si>
  <si>
    <t>202303110319</t>
  </si>
  <si>
    <t>202303110320</t>
  </si>
  <si>
    <t>202303110321</t>
  </si>
  <si>
    <t>202303110322</t>
  </si>
  <si>
    <t>202303110323</t>
  </si>
  <si>
    <t>202303110324</t>
  </si>
  <si>
    <t>202303110325</t>
  </si>
  <si>
    <t>202303110326</t>
  </si>
  <si>
    <t>202303110327</t>
  </si>
  <si>
    <t>202303110328</t>
  </si>
  <si>
    <t>202303110329</t>
  </si>
  <si>
    <t>202303110330</t>
  </si>
  <si>
    <t>202303110401</t>
  </si>
  <si>
    <t>202303110402</t>
  </si>
  <si>
    <t>202303110403</t>
  </si>
  <si>
    <t>202303110404</t>
  </si>
  <si>
    <t>202303110405</t>
  </si>
  <si>
    <t>202303110406</t>
  </si>
  <si>
    <t>202303110407</t>
  </si>
  <si>
    <t>202303110408</t>
  </si>
  <si>
    <t>202303110409</t>
  </si>
  <si>
    <t>202303110410</t>
  </si>
  <si>
    <t>202303110411</t>
  </si>
  <si>
    <t>202303110412</t>
  </si>
  <si>
    <t>202303110413</t>
  </si>
  <si>
    <t>202303110414</t>
  </si>
  <si>
    <t>202303110415</t>
  </si>
  <si>
    <t>202303110416</t>
  </si>
  <si>
    <t>202303110417</t>
  </si>
  <si>
    <t>202303110418</t>
  </si>
  <si>
    <t>202303110419</t>
  </si>
  <si>
    <t>202303110420</t>
  </si>
  <si>
    <t>202303110421</t>
  </si>
  <si>
    <t>202303110422</t>
  </si>
  <si>
    <t>202303110423</t>
  </si>
  <si>
    <t>202303110424</t>
  </si>
  <si>
    <t>202303110425</t>
  </si>
  <si>
    <t>202303110426</t>
  </si>
  <si>
    <t>202303110427</t>
  </si>
  <si>
    <t>202303110428</t>
  </si>
  <si>
    <t>202303110429</t>
  </si>
  <si>
    <t>202303110430</t>
  </si>
  <si>
    <t>202303110501</t>
  </si>
  <si>
    <t>202303110502</t>
  </si>
  <si>
    <t>202303110503</t>
  </si>
  <si>
    <t>202303110504</t>
  </si>
  <si>
    <t>202303110505</t>
  </si>
  <si>
    <t>202303110506</t>
  </si>
  <si>
    <t>202303110507</t>
  </si>
  <si>
    <t>202303110508</t>
  </si>
  <si>
    <t>202303110509</t>
  </si>
  <si>
    <t>202303110510</t>
  </si>
  <si>
    <t>202303110511</t>
  </si>
  <si>
    <t>202303110512</t>
  </si>
  <si>
    <t>202303110513</t>
  </si>
  <si>
    <t>202303110514</t>
  </si>
  <si>
    <t>202303110515</t>
  </si>
  <si>
    <t>202303110516</t>
  </si>
  <si>
    <t>202303110517</t>
  </si>
  <si>
    <t>202303110518</t>
  </si>
  <si>
    <t>202303110519</t>
  </si>
  <si>
    <t>202303110520</t>
  </si>
  <si>
    <t>202303110521</t>
  </si>
  <si>
    <t>202303110522</t>
  </si>
  <si>
    <t>202303110523</t>
  </si>
  <si>
    <t>202303110524</t>
  </si>
  <si>
    <t>202303110525</t>
  </si>
  <si>
    <t>202303110526</t>
  </si>
  <si>
    <t>202303110527</t>
  </si>
  <si>
    <t>202303110528</t>
  </si>
  <si>
    <t>202303110529</t>
  </si>
  <si>
    <t>202303110530</t>
  </si>
  <si>
    <t>202303110601</t>
  </si>
  <si>
    <t>202303110602</t>
  </si>
  <si>
    <t>202303110603</t>
  </si>
  <si>
    <t>202303110604</t>
  </si>
  <si>
    <t>202303110605</t>
  </si>
  <si>
    <t>202303110606</t>
  </si>
  <si>
    <t>202303110607</t>
  </si>
  <si>
    <t>202303110608</t>
  </si>
  <si>
    <t>202303110609</t>
  </si>
  <si>
    <t>202303110610</t>
  </si>
  <si>
    <t>202303110611</t>
  </si>
  <si>
    <t>202303110612</t>
  </si>
  <si>
    <t>202303110613</t>
  </si>
  <si>
    <t>202303110614</t>
  </si>
  <si>
    <t>202303110615</t>
  </si>
  <si>
    <t>202303110616</t>
  </si>
  <si>
    <t>202303110617</t>
  </si>
  <si>
    <t>202303110618</t>
  </si>
  <si>
    <t>202303110619</t>
  </si>
  <si>
    <t>202303110620</t>
  </si>
  <si>
    <t>202303110621</t>
  </si>
  <si>
    <t>202303110622</t>
  </si>
  <si>
    <t>202303110623</t>
  </si>
  <si>
    <t>202303110624</t>
  </si>
  <si>
    <t>202303110625</t>
  </si>
  <si>
    <t>202303110626</t>
  </si>
  <si>
    <t>202303110627</t>
  </si>
  <si>
    <t>202303110628</t>
  </si>
  <si>
    <t>202303110629</t>
  </si>
  <si>
    <t>202303110630</t>
  </si>
  <si>
    <t>202303110701</t>
  </si>
  <si>
    <t>202303110702</t>
  </si>
  <si>
    <t>202303110703</t>
  </si>
  <si>
    <t>202303110704</t>
  </si>
  <si>
    <t>202303110705</t>
  </si>
  <si>
    <t>202303110706</t>
  </si>
  <si>
    <t>202303110707</t>
  </si>
  <si>
    <t>202303110708</t>
  </si>
  <si>
    <t>202303110709</t>
  </si>
  <si>
    <t>202303110710</t>
  </si>
  <si>
    <t>202303110711</t>
  </si>
  <si>
    <t>202303110712</t>
  </si>
  <si>
    <t>202303110713</t>
  </si>
  <si>
    <t>202303110714</t>
  </si>
  <si>
    <t>202303110715</t>
  </si>
  <si>
    <t>202303110716</t>
  </si>
  <si>
    <t>202303110717</t>
  </si>
  <si>
    <t>202303110718</t>
  </si>
  <si>
    <t>202303110719</t>
  </si>
  <si>
    <t>202303110720</t>
  </si>
  <si>
    <t>202303110721</t>
  </si>
  <si>
    <t>202303110722</t>
  </si>
  <si>
    <t>202303110723</t>
  </si>
  <si>
    <t>缺考</t>
  </si>
  <si>
    <t>考场号</t>
  </si>
  <si>
    <t>科目一</t>
  </si>
  <si>
    <t>科目二</t>
  </si>
  <si>
    <t>笔试合成</t>
  </si>
  <si>
    <t>合肥市少儿艺术学校当涂路校区</t>
  </si>
  <si>
    <t>笔试成绩</t>
  </si>
  <si>
    <t>面试抽签号</t>
  </si>
  <si>
    <t>面试成绩</t>
  </si>
  <si>
    <t>/</t>
  </si>
  <si>
    <t>放弃</t>
  </si>
  <si>
    <t>放弃</t>
  </si>
  <si>
    <t>序号</t>
  </si>
  <si>
    <t>李*</t>
  </si>
  <si>
    <t>412301****2523</t>
  </si>
  <si>
    <t>马*凤</t>
  </si>
  <si>
    <t>341227****3445</t>
  </si>
  <si>
    <t>黄*</t>
  </si>
  <si>
    <t>340824****1429</t>
  </si>
  <si>
    <t>彭*娟</t>
  </si>
  <si>
    <t>340123****4906</t>
  </si>
  <si>
    <t>陆*洋</t>
  </si>
  <si>
    <t>342201****3360</t>
  </si>
  <si>
    <t>王*佳</t>
  </si>
  <si>
    <t>340123****3342</t>
  </si>
  <si>
    <t>潘*慧</t>
  </si>
  <si>
    <t>341204****0623</t>
  </si>
  <si>
    <t>陈*青</t>
  </si>
  <si>
    <t>340123****5286</t>
  </si>
  <si>
    <t>赫*梅</t>
  </si>
  <si>
    <t>341622****5326</t>
  </si>
  <si>
    <t>杨*月</t>
  </si>
  <si>
    <t>340122****2266</t>
  </si>
  <si>
    <t>薛*</t>
  </si>
  <si>
    <t>340123****6905</t>
  </si>
  <si>
    <t>王*滢</t>
  </si>
  <si>
    <t>342622****0122</t>
  </si>
  <si>
    <t>何*</t>
  </si>
  <si>
    <t>340121****5203</t>
  </si>
  <si>
    <t>张*宇</t>
  </si>
  <si>
    <t>341004****0028</t>
  </si>
  <si>
    <t>方*蕾</t>
  </si>
  <si>
    <t>340811****6523</t>
  </si>
  <si>
    <t>徐*</t>
  </si>
  <si>
    <t>340123****3148</t>
  </si>
  <si>
    <t>殷*</t>
  </si>
  <si>
    <t>340123****166X</t>
  </si>
  <si>
    <t>李*洁</t>
  </si>
  <si>
    <t>341204****088X</t>
  </si>
  <si>
    <t>李*莎</t>
  </si>
  <si>
    <t>342224****1227</t>
  </si>
  <si>
    <t>高*晶</t>
  </si>
  <si>
    <t>340826****0048</t>
  </si>
  <si>
    <t>吴*圆</t>
  </si>
  <si>
    <t>342922****1765</t>
  </si>
  <si>
    <t>胡*芳</t>
  </si>
  <si>
    <t>342523****9127</t>
  </si>
  <si>
    <t>韩*月</t>
  </si>
  <si>
    <t>130427****6120</t>
  </si>
  <si>
    <t>马*琪</t>
  </si>
  <si>
    <t>341622****7826</t>
  </si>
  <si>
    <t>徐*婷</t>
  </si>
  <si>
    <t>341622****0522</t>
  </si>
  <si>
    <t>胡*</t>
  </si>
  <si>
    <t>341225****6840</t>
  </si>
  <si>
    <t>万*敏</t>
  </si>
  <si>
    <t>341281****8142</t>
  </si>
  <si>
    <t>吴*丽</t>
  </si>
  <si>
    <t>340103****052X</t>
  </si>
  <si>
    <t>杨*婷</t>
  </si>
  <si>
    <t>340121****8228</t>
  </si>
  <si>
    <t>吴*云</t>
  </si>
  <si>
    <t>340826****0040</t>
  </si>
  <si>
    <t>马*婷</t>
  </si>
  <si>
    <t>341322****2446</t>
  </si>
  <si>
    <t>巨*敏</t>
  </si>
  <si>
    <t>341126****7528</t>
  </si>
  <si>
    <t>朱*凤</t>
  </si>
  <si>
    <t>342601****622X</t>
  </si>
  <si>
    <t>刘*玲</t>
  </si>
  <si>
    <t>341125****1103</t>
  </si>
  <si>
    <t>石*萍</t>
  </si>
  <si>
    <t>340826****0027</t>
  </si>
  <si>
    <t>项*青</t>
  </si>
  <si>
    <t>340826****1067</t>
  </si>
  <si>
    <t>李*佼</t>
  </si>
  <si>
    <t>341321****3021</t>
  </si>
  <si>
    <t>许*程</t>
  </si>
  <si>
    <t>342622****3782</t>
  </si>
  <si>
    <t>叶*晴</t>
  </si>
  <si>
    <t>342623****792X</t>
  </si>
  <si>
    <t>张*娟</t>
  </si>
  <si>
    <t>342425****5226</t>
  </si>
  <si>
    <t>段*金</t>
  </si>
  <si>
    <t>340822****4367</t>
  </si>
  <si>
    <t>费*阳</t>
  </si>
  <si>
    <t>340123****3310</t>
  </si>
  <si>
    <t>黄*珊</t>
  </si>
  <si>
    <t>342626****6123</t>
  </si>
  <si>
    <t>陈*红</t>
  </si>
  <si>
    <t>340123****242X</t>
  </si>
  <si>
    <t>徐*凡</t>
  </si>
  <si>
    <t>340121****3989</t>
  </si>
  <si>
    <t>王*君</t>
  </si>
  <si>
    <t>340102****0529</t>
  </si>
  <si>
    <t>杨*翕</t>
  </si>
  <si>
    <t>340403****0820</t>
  </si>
  <si>
    <t>章*</t>
  </si>
  <si>
    <t>342529****6228</t>
  </si>
  <si>
    <t>胡*娟</t>
  </si>
  <si>
    <t>340302****0421</t>
  </si>
  <si>
    <t>谢*楠</t>
  </si>
  <si>
    <t>340421****282X</t>
  </si>
  <si>
    <t>杨*茹</t>
  </si>
  <si>
    <t>340123****8561</t>
  </si>
  <si>
    <t>袁*雅</t>
  </si>
  <si>
    <t>341204****1423</t>
  </si>
  <si>
    <t>张*</t>
  </si>
  <si>
    <t>341126****6726</t>
  </si>
  <si>
    <t>李*茹</t>
  </si>
  <si>
    <t>340111****0027</t>
  </si>
  <si>
    <t>340826****0369</t>
  </si>
  <si>
    <t>李*铭</t>
  </si>
  <si>
    <t>342622****7124</t>
  </si>
  <si>
    <t>杜*娟</t>
  </si>
  <si>
    <t>340111****6527</t>
  </si>
  <si>
    <t>蔡*晨</t>
  </si>
  <si>
    <t>341224****8725</t>
  </si>
  <si>
    <t>薛*蓉</t>
  </si>
  <si>
    <t>342425****5545</t>
  </si>
  <si>
    <t xml:space="preserve"> *晓曦</t>
  </si>
  <si>
    <t>342426****4242</t>
  </si>
  <si>
    <t>吴*兰</t>
  </si>
  <si>
    <t>340123****6488</t>
  </si>
  <si>
    <t>张*凡</t>
  </si>
  <si>
    <t>342921****4028</t>
  </si>
  <si>
    <t>卫*</t>
  </si>
  <si>
    <t>340122****4829</t>
  </si>
  <si>
    <t>闵*宇</t>
  </si>
  <si>
    <t>340102****1520</t>
  </si>
  <si>
    <t>最终成绩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</si>
</sst>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3">
    <font>
      <sz val="11"/>
      <color theme="1"/>
      <name val="Calibri"/>
      <family val="0"/>
    </font>
    <font>
      <sz val="11"/>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1" applyNumberFormat="0" applyFill="0" applyAlignment="0" applyProtection="0"/>
    <xf numFmtId="0" fontId="27" fillId="0" borderId="2"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4" applyNumberFormat="0" applyAlignment="0" applyProtection="0"/>
    <xf numFmtId="0" fontId="33" fillId="23"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7" fillId="30" borderId="0" applyNumberFormat="0" applyBorder="0" applyAlignment="0" applyProtection="0"/>
    <xf numFmtId="0" fontId="38" fillId="22" borderId="7" applyNumberFormat="0" applyAlignment="0" applyProtection="0"/>
    <xf numFmtId="0" fontId="39" fillId="31" borderId="4" applyNumberFormat="0" applyAlignment="0" applyProtection="0"/>
    <xf numFmtId="0" fontId="40" fillId="0" borderId="0" applyNumberFormat="0" applyFill="0" applyBorder="0" applyAlignment="0" applyProtection="0"/>
    <xf numFmtId="0" fontId="0" fillId="32" borderId="8" applyNumberFormat="0" applyFont="0" applyAlignment="0" applyProtection="0"/>
  </cellStyleXfs>
  <cellXfs count="14">
    <xf numFmtId="0" fontId="0" fillId="0" borderId="0" xfId="0" applyFont="1" applyAlignment="1">
      <alignment vertical="center"/>
    </xf>
    <xf numFmtId="0" fontId="0" fillId="0" borderId="0" xfId="0" applyAlignment="1">
      <alignment vertical="center" wrapText="1"/>
    </xf>
    <xf numFmtId="22" fontId="0" fillId="0" borderId="0" xfId="0" applyNumberFormat="1" applyAlignment="1">
      <alignment vertical="center"/>
    </xf>
    <xf numFmtId="0" fontId="0" fillId="0" borderId="0" xfId="0" applyFont="1" applyAlignment="1">
      <alignment vertical="center"/>
    </xf>
    <xf numFmtId="177" fontId="0" fillId="0" borderId="0" xfId="0" applyNumberFormat="1" applyAlignment="1">
      <alignment vertical="center"/>
    </xf>
    <xf numFmtId="0" fontId="41" fillId="0" borderId="9" xfId="0" applyNumberFormat="1" applyFont="1" applyFill="1" applyBorder="1" applyAlignment="1">
      <alignment horizontal="center" vertical="center"/>
    </xf>
    <xf numFmtId="0" fontId="41" fillId="0" borderId="9" xfId="0" applyFont="1" applyFill="1" applyBorder="1" applyAlignment="1">
      <alignment horizontal="center" vertical="center"/>
    </xf>
    <xf numFmtId="0" fontId="41" fillId="0" borderId="0" xfId="0" applyFont="1" applyFill="1" applyAlignment="1">
      <alignment horizontal="center" vertical="center" wrapText="1"/>
    </xf>
    <xf numFmtId="0" fontId="42" fillId="0" borderId="9" xfId="0" applyFont="1" applyFill="1" applyBorder="1" applyAlignment="1">
      <alignment horizontal="center" vertical="center"/>
    </xf>
    <xf numFmtId="0" fontId="42" fillId="0" borderId="9" xfId="0" applyNumberFormat="1" applyFont="1" applyFill="1" applyBorder="1" applyAlignment="1">
      <alignment horizontal="center" vertical="center"/>
    </xf>
    <xf numFmtId="176" fontId="42" fillId="0" borderId="9" xfId="0" applyNumberFormat="1" applyFont="1" applyFill="1" applyBorder="1" applyAlignment="1">
      <alignment horizontal="center" vertical="center"/>
    </xf>
    <xf numFmtId="177" fontId="42" fillId="0" borderId="9" xfId="0" applyNumberFormat="1" applyFont="1" applyFill="1" applyBorder="1" applyAlignment="1">
      <alignment horizontal="center" vertical="center"/>
    </xf>
    <xf numFmtId="0" fontId="42" fillId="0" borderId="0" xfId="0" applyNumberFormat="1" applyFont="1" applyFill="1" applyAlignment="1">
      <alignment horizontal="center" vertical="center"/>
    </xf>
    <xf numFmtId="0" fontId="42" fillId="0" borderId="0" xfId="0" applyFont="1" applyFill="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222"/>
  <sheetViews>
    <sheetView workbookViewId="0" topLeftCell="B9">
      <selection activeCell="AS22" sqref="AS22"/>
    </sheetView>
  </sheetViews>
  <sheetFormatPr defaultColWidth="9.00390625" defaultRowHeight="15"/>
  <cols>
    <col min="4" max="31" width="9.00390625" style="0" customWidth="1"/>
    <col min="36" max="36" width="14.421875" style="0" customWidth="1"/>
  </cols>
  <sheetData>
    <row r="1" spans="1:47" ht="18" customHeight="1">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s="3" t="s">
        <v>266</v>
      </c>
      <c r="AL1" s="3" t="s">
        <v>267</v>
      </c>
      <c r="AM1" s="3" t="s">
        <v>268</v>
      </c>
      <c r="AN1" s="3" t="s">
        <v>265</v>
      </c>
      <c r="AO1" t="s">
        <v>36</v>
      </c>
      <c r="AP1" t="s">
        <v>37</v>
      </c>
      <c r="AQ1" t="s">
        <v>38</v>
      </c>
      <c r="AR1" t="s">
        <v>39</v>
      </c>
      <c r="AS1" t="s">
        <v>40</v>
      </c>
      <c r="AT1" t="s">
        <v>41</v>
      </c>
      <c r="AU1" t="s">
        <v>42</v>
      </c>
    </row>
    <row r="2" spans="1:42" ht="18" customHeight="1">
      <c r="A2" t="str">
        <f>"141720230301143007340792"</f>
        <v>141720230301143007340792</v>
      </c>
      <c r="B2" t="s">
        <v>49</v>
      </c>
      <c r="C2" t="str">
        <f>"马启凤"</f>
        <v>马启凤</v>
      </c>
      <c r="D2" t="str">
        <f aca="true" t="shared" si="0" ref="D2:D22">"女"</f>
        <v>女</v>
      </c>
      <c r="E2" t="str">
        <f>"1987-06-25"</f>
        <v>1987-06-25</v>
      </c>
      <c r="F2" t="str">
        <f>"安徽省亳州市利辛县"</f>
        <v>安徽省亳州市利辛县</v>
      </c>
      <c r="G2" t="str">
        <f>"汉族"</f>
        <v>汉族</v>
      </c>
      <c r="H2" t="str">
        <f>"中共党员"</f>
        <v>中共党员</v>
      </c>
      <c r="I2" t="str">
        <f>"341227198706253445"</f>
        <v>341227198706253445</v>
      </c>
      <c r="J2" t="str">
        <f>"已婚"</f>
        <v>已婚</v>
      </c>
      <c r="K2" t="str">
        <f aca="true" t="shared" si="1" ref="K2:K8">"本科"</f>
        <v>本科</v>
      </c>
      <c r="L2" t="str">
        <f>"无学位"</f>
        <v>无学位</v>
      </c>
      <c r="M2" t="str">
        <f>"汉语言文学"</f>
        <v>汉语言文学</v>
      </c>
      <c r="N2" t="str">
        <f>"宿州学院"</f>
        <v>宿州学院</v>
      </c>
      <c r="O2" t="str">
        <f>"2012年7月"</f>
        <v>2012年7月</v>
      </c>
      <c r="P2" t="str">
        <f>"中专"</f>
        <v>中专</v>
      </c>
      <c r="Q2" t="str">
        <f>"无学位"</f>
        <v>无学位</v>
      </c>
      <c r="R2" t="str">
        <f>"学前教育"</f>
        <v>学前教育</v>
      </c>
      <c r="S2" t="str">
        <f>"亳州市幼儿师范学校"</f>
        <v>亳州市幼儿师范学校</v>
      </c>
      <c r="T2" t="str">
        <f>"2006年7月"</f>
        <v>2006年7月</v>
      </c>
      <c r="U2" t="str">
        <f>"幼儿园教师资格"</f>
        <v>幼儿园教师资格</v>
      </c>
      <c r="V2" t="str">
        <f>"15"</f>
        <v>15</v>
      </c>
      <c r="W2" t="str">
        <f>"高级教师"</f>
        <v>高级教师</v>
      </c>
      <c r="X2" t="str">
        <f>"是"</f>
        <v>是</v>
      </c>
      <c r="Y2" t="str">
        <f>"利辛县第四幼儿园"</f>
        <v>利辛县第四幼儿园</v>
      </c>
      <c r="Z2" t="str">
        <f>"13966887964"</f>
        <v>13966887964</v>
      </c>
      <c r="AA2" t="str">
        <f>"安徽省亳州市利辛县金域华府"</f>
        <v>安徽省亳州市利辛县金域华府</v>
      </c>
      <c r="AB2" s="1" t="str">
        <f>"2008年--2012年 利辛县王市镇东城小学      教师
2012年--2019年 利辛县城北学区中心幼儿园  园长
2019年--今     利辛县第四幼儿园          副园长兼分园园长"</f>
        <v>2008年--2012年 利辛县王市镇东城小学      教师
2012年--2019年 利辛县城北学区中心幼儿园  园长
2019年--今     利辛县第四幼儿园          副园长兼分园园长</v>
      </c>
      <c r="AC2" t="str">
        <f>"利辛县优秀校长  利辛县优秀德育工作者  亳州市优秀教师"</f>
        <v>利辛县优秀校长  利辛县优秀德育工作者  亳州市优秀教师</v>
      </c>
      <c r="AD2" t="str">
        <f>"美术"</f>
        <v>美术</v>
      </c>
      <c r="AE2" t="str">
        <f>"老公|赵宁|利辛县移动公司|员工|儿子|赵跃铭|利辛县第四小学|学生||||"</f>
        <v>老公|赵宁|利辛县移动公司|员工|儿子|赵跃铭|利辛县第四小学|学生||||</v>
      </c>
      <c r="AF2" s="2">
        <v>44987.633622685185</v>
      </c>
      <c r="AG2">
        <v>1</v>
      </c>
      <c r="AH2">
        <v>0</v>
      </c>
      <c r="AI2">
        <v>0</v>
      </c>
      <c r="AJ2">
        <f>""</f>
      </c>
      <c r="AN2">
        <v>0</v>
      </c>
      <c r="AP2" s="3" t="s">
        <v>269</v>
      </c>
    </row>
    <row r="3" spans="1:40" ht="18" customHeight="1">
      <c r="A3" t="str">
        <f>"141720230301180433340816"</f>
        <v>141720230301180433340816</v>
      </c>
      <c r="B3" t="s">
        <v>49</v>
      </c>
      <c r="C3" t="str">
        <f>"李璐"</f>
        <v>李璐</v>
      </c>
      <c r="D3" t="str">
        <f t="shared" si="0"/>
        <v>女</v>
      </c>
      <c r="E3" t="str">
        <f>"1982-3"</f>
        <v>1982-3</v>
      </c>
      <c r="F3" t="str">
        <f>"河南省商丘市梁园区"</f>
        <v>河南省商丘市梁园区</v>
      </c>
      <c r="G3" t="str">
        <f>"汉族"</f>
        <v>汉族</v>
      </c>
      <c r="H3" t="str">
        <f>"群众"</f>
        <v>群众</v>
      </c>
      <c r="I3" t="str">
        <f>"412301198203292523"</f>
        <v>412301198203292523</v>
      </c>
      <c r="J3" t="str">
        <f>"已婚"</f>
        <v>已婚</v>
      </c>
      <c r="K3" t="str">
        <f t="shared" si="1"/>
        <v>本科</v>
      </c>
      <c r="L3" t="str">
        <f>"本科"</f>
        <v>本科</v>
      </c>
      <c r="M3" t="str">
        <f>"学前教育"</f>
        <v>学前教育</v>
      </c>
      <c r="N3" t="str">
        <f>"合肥师范学院"</f>
        <v>合肥师范学院</v>
      </c>
      <c r="O3" t="str">
        <f>"2015-07-10"</f>
        <v>2015-07-10</v>
      </c>
      <c r="P3" t="str">
        <f>"中专"</f>
        <v>中专</v>
      </c>
      <c r="Q3" t="str">
        <f>"无"</f>
        <v>无</v>
      </c>
      <c r="R3" t="str">
        <f>"幼教"</f>
        <v>幼教</v>
      </c>
      <c r="S3" t="str">
        <f>"河南省财经学校"</f>
        <v>河南省财经学校</v>
      </c>
      <c r="T3" t="str">
        <f>"1999-06"</f>
        <v>1999-06</v>
      </c>
      <c r="U3" t="str">
        <f>"20054110911000660"</f>
        <v>20054110911000660</v>
      </c>
      <c r="V3" t="str">
        <f>"20年"</f>
        <v>20年</v>
      </c>
      <c r="W3" t="str">
        <f>"一级教师"</f>
        <v>一级教师</v>
      </c>
      <c r="X3" t="str">
        <f>"是"</f>
        <v>是</v>
      </c>
      <c r="Y3" t="str">
        <f>"合肥市直属机关幼儿园"</f>
        <v>合肥市直属机关幼儿园</v>
      </c>
      <c r="Z3" t="str">
        <f>"13856916927"</f>
        <v>13856916927</v>
      </c>
      <c r="AA3" t="str">
        <f>"合肥市庐阳区颍上路北美印象雅苑"</f>
        <v>合肥市庐阳区颍上路北美印象雅苑</v>
      </c>
      <c r="AB3" s="1" t="s">
        <v>57</v>
      </c>
      <c r="AC3" t="str">
        <f>"区级优秀教育工作者 区级优秀教师 区级优秀联络员 市级中小学舞蹈比赛一等奖 市级民间体育游戏指导三等奖  区级中层干部优秀课例特等奖"</f>
        <v>区级优秀教育工作者 区级优秀教师 区级优秀联络员 市级中小学舞蹈比赛一等奖 市级民间体育游戏指导三等奖  区级中层干部优秀课例特等奖</v>
      </c>
      <c r="AD3" s="1" t="str">
        <f>"中国舞 教师资格10级 
区级优秀教育工作者 
区级优秀教师 
区级优秀联络员 
市级中小学舞蹈比赛一等奖 
市级民间体育游戏指导三等奖 
省级刊物刊登论文 
区教育教学论文评选中荣获一等奖 
区教育系统第七届学术节一幼儿园中层干部音乐领域优秀课例特等奖 
全省通用语言文字法规及语文规范大赛中获三等奖 
带领整园推进信息技术应用能力工程2.0工作 
参与橡树湾幼儿园课题组成员"</f>
        <v>中国舞 教师资格10级 
区级优秀教育工作者 
区级优秀教师 
区级优秀联络员 
市级中小学舞蹈比赛一等奖 
市级民间体育游戏指导三等奖 
省级刊物刊登论文 
区教育教学论文评选中荣获一等奖 
区教育系统第七届学术节一幼儿园中层干部音乐领域优秀课例特等奖 
全省通用语言文字法规及语文规范大赛中获三等奖 
带领整园推进信息技术应用能力工程2.0工作 
参与橡树湾幼儿园课题组成员</v>
      </c>
      <c r="AE3" t="str">
        <f>"丈夫|薛峰|采蝶轩|外事部|儿子|薛一山|四十五中|学生||||"</f>
        <v>丈夫|薛峰|采蝶轩|外事部|儿子|薛一山|四十五中|学生||||</v>
      </c>
      <c r="AF3" s="2">
        <v>44987.420381944445</v>
      </c>
      <c r="AG3">
        <v>1</v>
      </c>
      <c r="AH3">
        <v>0</v>
      </c>
      <c r="AI3">
        <v>0</v>
      </c>
      <c r="AJ3">
        <f>""</f>
      </c>
      <c r="AN3">
        <v>0</v>
      </c>
    </row>
    <row r="4" spans="1:40" ht="18" customHeight="1">
      <c r="A4" t="str">
        <f>"141720230302082500340872"</f>
        <v>141720230302082500340872</v>
      </c>
      <c r="B4" t="s">
        <v>49</v>
      </c>
      <c r="C4" t="str">
        <f>"黄静"</f>
        <v>黄静</v>
      </c>
      <c r="D4" t="str">
        <f t="shared" si="0"/>
        <v>女</v>
      </c>
      <c r="E4" t="str">
        <f>"1987-08"</f>
        <v>1987-08</v>
      </c>
      <c r="F4" t="str">
        <f>"安徽安庆市"</f>
        <v>安徽安庆市</v>
      </c>
      <c r="G4" t="str">
        <f>"汉族"</f>
        <v>汉族</v>
      </c>
      <c r="H4" t="str">
        <f>"群众"</f>
        <v>群众</v>
      </c>
      <c r="I4" t="str">
        <f>"340824198708231429"</f>
        <v>340824198708231429</v>
      </c>
      <c r="J4" t="str">
        <f>"已婚"</f>
        <v>已婚</v>
      </c>
      <c r="K4" t="str">
        <f t="shared" si="1"/>
        <v>本科</v>
      </c>
      <c r="L4" t="str">
        <f>"本科"</f>
        <v>本科</v>
      </c>
      <c r="M4" t="str">
        <f>"学前教育"</f>
        <v>学前教育</v>
      </c>
      <c r="N4" t="str">
        <f>"安徽师范大学"</f>
        <v>安徽师范大学</v>
      </c>
      <c r="O4" t="str">
        <f>"2011-07"</f>
        <v>2011-07</v>
      </c>
      <c r="P4" t="str">
        <f>"本科"</f>
        <v>本科</v>
      </c>
      <c r="Q4" t="str">
        <f>"学士"</f>
        <v>学士</v>
      </c>
      <c r="R4" t="str">
        <f>"学前教育"</f>
        <v>学前教育</v>
      </c>
      <c r="S4" t="str">
        <f>"安徽师范大学"</f>
        <v>安徽师范大学</v>
      </c>
      <c r="T4" t="str">
        <f>"2011-07"</f>
        <v>2011-07</v>
      </c>
      <c r="U4" t="str">
        <f>"幼儿园教师资格证书"</f>
        <v>幼儿园教师资格证书</v>
      </c>
      <c r="V4" t="str">
        <f>"11年"</f>
        <v>11年</v>
      </c>
      <c r="W4" t="str">
        <f>"一级教师"</f>
        <v>一级教师</v>
      </c>
      <c r="X4" t="str">
        <f>"是"</f>
        <v>是</v>
      </c>
      <c r="Y4" t="str">
        <f>"潜山市实验幼儿园"</f>
        <v>潜山市实验幼儿园</v>
      </c>
      <c r="Z4" t="str">
        <f>"18056904281"</f>
        <v>18056904281</v>
      </c>
      <c r="AA4" t="str">
        <f>"潜山市亿龙春天小区I栋3单元205"</f>
        <v>潜山市亿龙春天小区I栋3单元205</v>
      </c>
      <c r="AB4" s="1" t="str">
        <f>"2003.09-2006.07 潜山中学 学生
2007.09-2011.07 安徽师范大学 学生
"</f>
        <v>2003.09-2006.07 潜山中学 学生
2007.09-2011.07 安徽师范大学 学生
</v>
      </c>
      <c r="AC4" s="1" t="str">
        <f>"2022年9月 潜山市教坛新星
2022年12月 安庆市语言优质课评比一等奖"</f>
        <v>2022年9月 潜山市教坛新星
2022年12月 安庆市语言优质课评比一等奖</v>
      </c>
      <c r="AD4" t="str">
        <f>"弹琴 唱歌 "</f>
        <v>弹琴 唱歌 </v>
      </c>
      <c r="AE4" t="str">
        <f>"丈夫|陈飞|合肥市锦弘教育集团|教师|子女|陈珺窈|舒州小学|学生||||"</f>
        <v>丈夫|陈飞|合肥市锦弘教育集团|教师|子女|陈珺窈|舒州小学|学生||||</v>
      </c>
      <c r="AF4" s="2">
        <v>44987.585856481484</v>
      </c>
      <c r="AG4">
        <v>1</v>
      </c>
      <c r="AH4">
        <v>0</v>
      </c>
      <c r="AI4">
        <v>0</v>
      </c>
      <c r="AJ4">
        <f>""</f>
      </c>
      <c r="AN4">
        <v>0</v>
      </c>
    </row>
    <row r="5" spans="1:40" ht="18" customHeight="1">
      <c r="A5" t="str">
        <f>"141720230302090732340876"</f>
        <v>141720230302090732340876</v>
      </c>
      <c r="B5" t="s">
        <v>49</v>
      </c>
      <c r="C5" t="str">
        <f>"胡佩佩"</f>
        <v>胡佩佩</v>
      </c>
      <c r="D5" t="str">
        <f t="shared" si="0"/>
        <v>女</v>
      </c>
      <c r="E5" t="str">
        <f>"1985-09"</f>
        <v>1985-09</v>
      </c>
      <c r="F5" t="str">
        <f>"安徽安庆"</f>
        <v>安徽安庆</v>
      </c>
      <c r="G5" t="str">
        <f>"汉族"</f>
        <v>汉族</v>
      </c>
      <c r="H5" t="str">
        <f>"中共党员"</f>
        <v>中共党员</v>
      </c>
      <c r="I5" t="str">
        <f>"340803198509012029"</f>
        <v>340803198509012029</v>
      </c>
      <c r="J5" t="str">
        <f>"已婚"</f>
        <v>已婚</v>
      </c>
      <c r="K5" t="str">
        <f t="shared" si="1"/>
        <v>本科</v>
      </c>
      <c r="L5" t="str">
        <f>"无"</f>
        <v>无</v>
      </c>
      <c r="M5" t="str">
        <f>"学前教育"</f>
        <v>学前教育</v>
      </c>
      <c r="N5" t="str">
        <f>"合肥学院"</f>
        <v>合肥学院</v>
      </c>
      <c r="O5" t="str">
        <f>"2014-07"</f>
        <v>2014-07</v>
      </c>
      <c r="P5" t="str">
        <f>"专科"</f>
        <v>专科</v>
      </c>
      <c r="Q5" t="str">
        <f>"无"</f>
        <v>无</v>
      </c>
      <c r="R5" t="str">
        <f>"初等教育"</f>
        <v>初等教育</v>
      </c>
      <c r="S5" t="str">
        <f>"合肥学院"</f>
        <v>合肥学院</v>
      </c>
      <c r="T5" t="str">
        <f>"2011-07"</f>
        <v>2011-07</v>
      </c>
      <c r="U5" t="str">
        <f>"幼儿教师资格证"</f>
        <v>幼儿教师资格证</v>
      </c>
      <c r="V5" t="str">
        <f>"15年"</f>
        <v>15年</v>
      </c>
      <c r="W5" t="str">
        <f>"小教一级"</f>
        <v>小教一级</v>
      </c>
      <c r="X5" t="str">
        <f>"否"</f>
        <v>否</v>
      </c>
      <c r="Y5" t="str">
        <f>"广州伟才教育集团"</f>
        <v>广州伟才教育集团</v>
      </c>
      <c r="Z5" t="str">
        <f>"18725568005"</f>
        <v>18725568005</v>
      </c>
      <c r="AA5" t="str">
        <f>"安徽省安庆市迎江区红旗小区"</f>
        <v>安徽省安庆市迎江区红旗小区</v>
      </c>
      <c r="AB5" s="1" t="str">
        <f>"2008.8-2011.8 合肥市包河区金江苑幼儿园 教师
2011.9-2014.6 合肥市包河区金江苑幼儿园 业务主任
2014.9-2018.8 苏州奇智宝贝教育集团安庆分园 副园长
2018.9-至今 广州伟才教育集团安庆分园 执行园长"</f>
        <v>2008.8-2011.8 合肥市包河区金江苑幼儿园 教师
2011.9-2014.6 合肥市包河区金江苑幼儿园 业务主任
2014.9-2018.8 苏州奇智宝贝教育集团安庆分园 副园长
2018.9-至今 广州伟才教育集团安庆分园 执行园长</v>
      </c>
      <c r="AC5" s="1" t="str">
        <f>"1.2014年取得小学一级职称；
2.2015年取得园长资格证书；
3.2017年10月参加安徽省园长研修国培班学习；
4.2016年~2019年期间成功创建两所市级一类幼儿园；
5.2021年12月在国家级刊物发表文章《幼儿园户外游戏与日常生活教育有效结合》；
6.任职期间成功创建两家市级一类园。"</f>
        <v>1.2014年取得小学一级职称；
2.2015年取得园长资格证书；
3.2017年10月参加安徽省园长研修国培班学习；
4.2016年~2019年期间成功创建两所市级一类幼儿园；
5.2021年12月在国家级刊物发表文章《幼儿园户外游戏与日常生活教育有效结合》；
6.任职期间成功创建两家市级一类园。</v>
      </c>
      <c r="AD5" s="1" t="str">
        <f>"特长：善于洞察人的心理动态，良好的沟通能力，很好的协调各部门之间的关系；
爱好：乐于参与管理学相关的讲座学习，喜欢参与公益活动。"</f>
        <v>特长：善于洞察人的心理动态，良好的沟通能力，很好的协调各部门之间的关系；
爱好：乐于参与管理学相关的讲座学习，喜欢参与公益活动。</v>
      </c>
      <c r="AE5" t="str">
        <f>"母女|方爱琴|退休|||||||||"</f>
        <v>母女|方爱琴|退休|||||||||</v>
      </c>
      <c r="AF5" s="2">
        <v>44987.42642361111</v>
      </c>
      <c r="AG5">
        <v>1</v>
      </c>
      <c r="AH5">
        <v>0</v>
      </c>
      <c r="AI5">
        <v>0</v>
      </c>
      <c r="AJ5">
        <f>""</f>
      </c>
      <c r="AN5">
        <v>0</v>
      </c>
    </row>
    <row r="6" spans="1:40" ht="18" customHeight="1">
      <c r="A6" t="str">
        <f>"141720230226091455340203"</f>
        <v>141720230226091455340203</v>
      </c>
      <c r="B6" t="s">
        <v>46</v>
      </c>
      <c r="C6" t="str">
        <f>"陆洋洋"</f>
        <v>陆洋洋</v>
      </c>
      <c r="D6" t="str">
        <f t="shared" si="0"/>
        <v>女</v>
      </c>
      <c r="E6" t="str">
        <f>"1990-10"</f>
        <v>1990-10</v>
      </c>
      <c r="F6" t="str">
        <f>"安徽省淮南市"</f>
        <v>安徽省淮南市</v>
      </c>
      <c r="G6" t="str">
        <f>"汉族"</f>
        <v>汉族</v>
      </c>
      <c r="H6" t="str">
        <f>"群众"</f>
        <v>群众</v>
      </c>
      <c r="I6" t="str">
        <f>"342201199010023360"</f>
        <v>342201199010023360</v>
      </c>
      <c r="J6" t="str">
        <f>"已婚"</f>
        <v>已婚</v>
      </c>
      <c r="K6" t="str">
        <f t="shared" si="1"/>
        <v>本科</v>
      </c>
      <c r="L6" t="str">
        <f>"学士学位"</f>
        <v>学士学位</v>
      </c>
      <c r="M6" t="str">
        <f>"学前教育"</f>
        <v>学前教育</v>
      </c>
      <c r="N6" t="str">
        <f>"华东师范大学"</f>
        <v>华东师范大学</v>
      </c>
      <c r="O6" t="str">
        <f>"2015-01"</f>
        <v>2015-01</v>
      </c>
      <c r="P6" t="str">
        <f>"专科"</f>
        <v>专科</v>
      </c>
      <c r="Q6" t="str">
        <f>"无"</f>
        <v>无</v>
      </c>
      <c r="R6" t="str">
        <f>"学前教育"</f>
        <v>学前教育</v>
      </c>
      <c r="S6" t="str">
        <f>"合肥幼儿师范高等专科学校"</f>
        <v>合肥幼儿师范高等专科学校</v>
      </c>
      <c r="T6" t="str">
        <f>"2011-07"</f>
        <v>2011-07</v>
      </c>
      <c r="U6" t="str">
        <f>"幼儿园教师资格证"</f>
        <v>幼儿园教师资格证</v>
      </c>
      <c r="V6" t="str">
        <f>"12年"</f>
        <v>12年</v>
      </c>
      <c r="W6" t="str">
        <f>"幼教二级"</f>
        <v>幼教二级</v>
      </c>
      <c r="X6" t="str">
        <f aca="true" t="shared" si="2" ref="X6:X11">"是"</f>
        <v>是</v>
      </c>
      <c r="Y6" t="str">
        <f>"文一教育集团-瑶海文一静安瑞泰幼儿园"</f>
        <v>文一教育集团-瑶海文一静安瑞泰幼儿园</v>
      </c>
      <c r="Z6" t="str">
        <f>"13865965360"</f>
        <v>13865965360</v>
      </c>
      <c r="AA6" t="str">
        <f>"瑶海区文一云河湾小区"</f>
        <v>瑶海区文一云河湾小区</v>
      </c>
      <c r="AB6" s="1" t="str">
        <f>"2006.9-2011.6 合肥幼儿师范高等专科学校 学生；
2012.2-2015.1 华东师范大学 学生；
2011.2-2012.7 上海启航教育有限公司-金拇指幼儿园 员工；
2012.8-2015.6 上海伊顿金汇豪庭幼儿园 员工；
2016.10-至今 文一教育集团 瑶海文一静安瑞泰幼儿园 员工；"</f>
        <v>2006.9-2011.6 合肥幼儿师范高等专科学校 学生；
2012.2-2015.1 华东师范大学 学生；
2011.2-2012.7 上海启航教育有限公司-金拇指幼儿园 员工；
2012.8-2015.6 上海伊顿金汇豪庭幼儿园 员工；
2016.10-至今 文一教育集团 瑶海文一静安瑞泰幼儿园 员工；</v>
      </c>
      <c r="AC6" s="1" t="str">
        <f>"1.连续4年获得文一教育集团优秀员工称号。
2.参加2019-2022年合肥市中小学幼儿园教师信息技术应用能力提升工程2.0校本应用考核，评定为高级等级。"</f>
        <v>1.连续4年获得文一教育集团优秀员工称号。
2.参加2019-2022年合肥市中小学幼儿园教师信息技术应用能力提升工程2.0校本应用考核，评定为高级等级。</v>
      </c>
      <c r="AD6" s="1" t="str">
        <f>"特长:绘画、手工制作。
爱好：阅读、绘画、唱歌。"</f>
        <v>特长:绘画、手工制作。
爱好：阅读、绘画、唱歌。</v>
      </c>
      <c r="AE6" t="str">
        <f>"夫妻|丁常然|合肥燕辰软件科技有限公司|工程师|母子|丁宁绎|合肥郎溪路小学|学生||||"</f>
        <v>夫妻|丁常然|合肥燕辰软件科技有限公司|工程师|母子|丁宁绎|合肥郎溪路小学|学生||||</v>
      </c>
      <c r="AF6" s="2">
        <v>44987.625451388885</v>
      </c>
      <c r="AG6">
        <v>1</v>
      </c>
      <c r="AH6">
        <v>0</v>
      </c>
      <c r="AI6">
        <v>0</v>
      </c>
      <c r="AJ6">
        <f>""</f>
      </c>
      <c r="AN6">
        <v>0</v>
      </c>
    </row>
    <row r="7" spans="1:40" ht="18" customHeight="1">
      <c r="A7" t="str">
        <f>"141720230227134920340503"</f>
        <v>141720230227134920340503</v>
      </c>
      <c r="B7" t="s">
        <v>46</v>
      </c>
      <c r="C7" t="str">
        <f>"王曦悦"</f>
        <v>王曦悦</v>
      </c>
      <c r="D7" t="str">
        <f t="shared" si="0"/>
        <v>女</v>
      </c>
      <c r="E7" t="str">
        <f>"1996-08"</f>
        <v>1996-08</v>
      </c>
      <c r="F7" t="str">
        <f>"安徽包河区"</f>
        <v>安徽包河区</v>
      </c>
      <c r="G7" t="str">
        <f>"少数民族"</f>
        <v>少数民族</v>
      </c>
      <c r="H7" t="str">
        <f>"共青团员"</f>
        <v>共青团员</v>
      </c>
      <c r="I7" t="str">
        <f>"342423199608280029"</f>
        <v>342423199608280029</v>
      </c>
      <c r="J7" t="str">
        <f>"未婚"</f>
        <v>未婚</v>
      </c>
      <c r="K7" t="str">
        <f t="shared" si="1"/>
        <v>本科</v>
      </c>
      <c r="L7" t="str">
        <f>"学士学位"</f>
        <v>学士学位</v>
      </c>
      <c r="M7" t="str">
        <f>"学前教育"</f>
        <v>学前教育</v>
      </c>
      <c r="N7" t="str">
        <f>"安徽师范大学"</f>
        <v>安徽师范大学</v>
      </c>
      <c r="O7" t="str">
        <f>"2019-7-1"</f>
        <v>2019-7-1</v>
      </c>
      <c r="P7" t="str">
        <f>"大专"</f>
        <v>大专</v>
      </c>
      <c r="Q7" t="str">
        <f>"无"</f>
        <v>无</v>
      </c>
      <c r="R7" t="str">
        <f>"学前教育"</f>
        <v>学前教育</v>
      </c>
      <c r="S7" t="str">
        <f>"合肥幼儿师范高等专科学校"</f>
        <v>合肥幼儿师范高等专科学校</v>
      </c>
      <c r="T7" t="str">
        <f>"2016-7-1"</f>
        <v>2016-7-1</v>
      </c>
      <c r="U7" t="str">
        <f>"教师资格证书"</f>
        <v>教师资格证书</v>
      </c>
      <c r="V7" t="str">
        <f>"7年"</f>
        <v>7年</v>
      </c>
      <c r="W7" t="str">
        <f>"幼儿园二级教师"</f>
        <v>幼儿园二级教师</v>
      </c>
      <c r="X7" t="str">
        <f t="shared" si="2"/>
        <v>是</v>
      </c>
      <c r="Y7" t="str">
        <f>"中铁四局直属机关幼儿园"</f>
        <v>中铁四局直属机关幼儿园</v>
      </c>
      <c r="Z7" t="str">
        <f>"15656511122"</f>
        <v>15656511122</v>
      </c>
      <c r="AA7" t="str">
        <f>"安徽省合肥包河区水阳江路"</f>
        <v>安徽省合肥包河区水阳江路</v>
      </c>
      <c r="AB7" s="1" t="str">
        <f>"2011年9月-2016年7月就读于“合肥幼儿师范高等专科学校” 
2017年3月-2019年7月就读于“安徽师范大学” 
2016年参加工作“中铁四局直属机关幼儿园”任班级配班老师，2018年起任班主任老师、教研组长至今"</f>
        <v>2011年9月-2016年7月就读于“合肥幼儿师范高等专科学校” 
2017年3月-2019年7月就读于“安徽师范大学” 
2016年参加工作“中铁四局直属机关幼儿园”任班级配班老师，2018年起任班主任老师、教研组长至今</v>
      </c>
      <c r="AC7" s="1" t="s">
        <v>50</v>
      </c>
      <c r="AD7" t="str">
        <f>"特长手工、玩教具制作，钢琴边弹边唱及小提琴业余专业7级。"</f>
        <v>特长手工、玩教具制作，钢琴边弹边唱及小提琴业余专业7级。</v>
      </c>
      <c r="AE7" t="str">
        <f>"父|王纲|六安市霍邱县公安局||母|莫莉|六安市霍邱县林业局|||||"</f>
        <v>父|王纲|六安市霍邱县公安局||母|莫莉|六安市霍邱县林业局|||||</v>
      </c>
      <c r="AF7" s="2">
        <v>44987.432291666664</v>
      </c>
      <c r="AG7">
        <v>1</v>
      </c>
      <c r="AH7">
        <v>0</v>
      </c>
      <c r="AI7">
        <v>0</v>
      </c>
      <c r="AJ7">
        <f>""</f>
      </c>
      <c r="AN7">
        <v>0</v>
      </c>
    </row>
    <row r="8" spans="1:40" ht="18" customHeight="1">
      <c r="A8" t="str">
        <f>"141720230227171925340544"</f>
        <v>141720230227171925340544</v>
      </c>
      <c r="B8" t="s">
        <v>46</v>
      </c>
      <c r="C8" t="str">
        <f>"付丽艳"</f>
        <v>付丽艳</v>
      </c>
      <c r="D8" t="str">
        <f t="shared" si="0"/>
        <v>女</v>
      </c>
      <c r="E8" t="str">
        <f>"198801"</f>
        <v>198801</v>
      </c>
      <c r="F8" t="str">
        <f>"安徽蜀山区"</f>
        <v>安徽蜀山区</v>
      </c>
      <c r="G8" t="str">
        <f aca="true" t="shared" si="3" ref="G8:G39">"汉族"</f>
        <v>汉族</v>
      </c>
      <c r="H8" t="str">
        <f>"群众"</f>
        <v>群众</v>
      </c>
      <c r="I8" t="str">
        <f>"340104198801190525"</f>
        <v>340104198801190525</v>
      </c>
      <c r="J8" t="str">
        <f>"未婚"</f>
        <v>未婚</v>
      </c>
      <c r="K8" t="str">
        <f t="shared" si="1"/>
        <v>本科</v>
      </c>
      <c r="L8" t="str">
        <f>"无"</f>
        <v>无</v>
      </c>
      <c r="M8" t="str">
        <f>"学前管理"</f>
        <v>学前管理</v>
      </c>
      <c r="N8" t="str">
        <f>"合肥师范学院"</f>
        <v>合肥师范学院</v>
      </c>
      <c r="O8" t="str">
        <f>"2010年7月"</f>
        <v>2010年7月</v>
      </c>
      <c r="P8" t="str">
        <f>"大专"</f>
        <v>大专</v>
      </c>
      <c r="Q8" t="str">
        <f>"无"</f>
        <v>无</v>
      </c>
      <c r="R8" t="str">
        <f>"幼教"</f>
        <v>幼教</v>
      </c>
      <c r="S8" t="str">
        <f>"合肥幼师"</f>
        <v>合肥幼师</v>
      </c>
      <c r="T8" t="str">
        <f>"2008年7月"</f>
        <v>2008年7月</v>
      </c>
      <c r="U8" t="str">
        <f>"教师资格证 "</f>
        <v>教师资格证 </v>
      </c>
      <c r="V8" t="str">
        <f>"15年"</f>
        <v>15年</v>
      </c>
      <c r="W8" t="str">
        <f>"小二"</f>
        <v>小二</v>
      </c>
      <c r="X8" t="str">
        <f t="shared" si="2"/>
        <v>是</v>
      </c>
      <c r="Y8" t="str">
        <f>"合肥三味幼儿园"</f>
        <v>合肥三味幼儿园</v>
      </c>
      <c r="Z8" t="str">
        <f>"13855118263"</f>
        <v>13855118263</v>
      </c>
      <c r="AA8" t="str">
        <f>"合肥市蜀山区肥西路康馨名家"</f>
        <v>合肥市蜀山区肥西路康馨名家</v>
      </c>
      <c r="AB8" s="1" t="str">
        <f>"2003——2008  合肥幼教 学生
2008——2010.7 合肥师范学院  学生
2008.1——2013.11 省委机关幼儿园 教师
2013.12——2017.1 凯师英语素质教育 主管
2017.7——2021.5 华山路幼儿园  教师 教研主管
2021.9——至今 三味幼儿园  园长"</f>
        <v>2003——2008  合肥幼教 学生
2008——2010.7 合肥师范学院  学生
2008.1——2013.11 省委机关幼儿园 教师
2013.12——2017.1 凯师英语素质教育 主管
2017.7——2021.5 华山路幼儿园  教师 教研主管
2021.9——至今 三味幼儿园  园长</v>
      </c>
      <c r="AC8" s="1" t="s">
        <v>51</v>
      </c>
      <c r="AD8" t="str">
        <f>"绘画、旅游"</f>
        <v>绘画、旅游</v>
      </c>
      <c r="AE8" t="str">
        <f>"父女|付舒成|退休||母女|徐琪萍|退休|||||"</f>
        <v>父女|付舒成|退休||母女|徐琪萍|退休|||||</v>
      </c>
      <c r="AF8" s="2">
        <v>44987.64443287037</v>
      </c>
      <c r="AG8">
        <v>1</v>
      </c>
      <c r="AH8">
        <v>0</v>
      </c>
      <c r="AI8">
        <v>0</v>
      </c>
      <c r="AJ8">
        <f>""</f>
      </c>
      <c r="AN8">
        <v>0</v>
      </c>
    </row>
    <row r="9" spans="1:40" ht="18" customHeight="1">
      <c r="A9" t="str">
        <f>"141720230227182157340558"</f>
        <v>141720230227182157340558</v>
      </c>
      <c r="B9" t="s">
        <v>46</v>
      </c>
      <c r="C9" t="str">
        <f>"彭娟娟"</f>
        <v>彭娟娟</v>
      </c>
      <c r="D9" t="str">
        <f t="shared" si="0"/>
        <v>女</v>
      </c>
      <c r="E9" t="str">
        <f>"1994-04-29"</f>
        <v>1994-04-29</v>
      </c>
      <c r="F9" t="str">
        <f>"安徽肥东"</f>
        <v>安徽肥东</v>
      </c>
      <c r="G9" t="str">
        <f t="shared" si="3"/>
        <v>汉族</v>
      </c>
      <c r="H9" t="str">
        <f>"群众"</f>
        <v>群众</v>
      </c>
      <c r="I9" t="str">
        <f>"340123199404294906"</f>
        <v>340123199404294906</v>
      </c>
      <c r="J9" t="str">
        <f>"未婚"</f>
        <v>未婚</v>
      </c>
      <c r="K9" t="str">
        <f>"大学本科"</f>
        <v>大学本科</v>
      </c>
      <c r="L9" t="str">
        <f>"学士学位"</f>
        <v>学士学位</v>
      </c>
      <c r="M9" t="str">
        <f>"学前教育"</f>
        <v>学前教育</v>
      </c>
      <c r="N9" t="str">
        <f>"合肥学院"</f>
        <v>合肥学院</v>
      </c>
      <c r="O9" t="str">
        <f>"2017-07"</f>
        <v>2017-07</v>
      </c>
      <c r="P9" t="str">
        <f>"大学本科"</f>
        <v>大学本科</v>
      </c>
      <c r="Q9" t="str">
        <f>"学士学位"</f>
        <v>学士学位</v>
      </c>
      <c r="R9" t="str">
        <f>"学前教育"</f>
        <v>学前教育</v>
      </c>
      <c r="S9" t="str">
        <f>"合肥学院"</f>
        <v>合肥学院</v>
      </c>
      <c r="T9" t="str">
        <f>"2017-07"</f>
        <v>2017-07</v>
      </c>
      <c r="U9" t="str">
        <f>"幼儿教师资格证"</f>
        <v>幼儿教师资格证</v>
      </c>
      <c r="V9" t="str">
        <f>"5年"</f>
        <v>5年</v>
      </c>
      <c r="W9" t="str">
        <f>"二级教师"</f>
        <v>二级教师</v>
      </c>
      <c r="X9" t="str">
        <f t="shared" si="2"/>
        <v>是</v>
      </c>
      <c r="Y9" t="str">
        <f>"合肥必爱课幼儿园"</f>
        <v>合肥必爱课幼儿园</v>
      </c>
      <c r="Z9" t="str">
        <f>"18788832947"</f>
        <v>18788832947</v>
      </c>
      <c r="AA9" t="str">
        <f>"合肥市肥东县远洋万和云锦"</f>
        <v>合肥市肥东县远洋万和云锦</v>
      </c>
      <c r="AB9" s="1" t="str">
        <f>"2010.09-2013.06 肥东一中 学生
2013.09-2017.07 合肥学院 学生
2017.07-2019.07新加坡人民行动党幼儿园 教师
2019.10-至今 合肥必爱课幼儿园 业务主任兼教师"</f>
        <v>2010.09-2013.06 肥东一中 学生
2013.09-2017.07 合肥学院 学生
2017.07-2019.07新加坡人民行动党幼儿园 教师
2019.10-至今 合肥必爱课幼儿园 业务主任兼教师</v>
      </c>
      <c r="AC9" t="str">
        <f>"2021年获合肥市高新区优秀教师"</f>
        <v>2021年获合肥市高新区优秀教师</v>
      </c>
      <c r="AD9" t="str">
        <f>"钢琴，书法"</f>
        <v>钢琴，书法</v>
      </c>
      <c r="AE9" t="str">
        <f>"父女|彭其官|肥东京冠紫玉华府|自由职业|母女|储远芝|肥东京冠紫玉华府|自由职业||||"</f>
        <v>父女|彭其官|肥东京冠紫玉华府|自由职业|母女|储远芝|肥东京冠紫玉华府|自由职业||||</v>
      </c>
      <c r="AF9" s="2">
        <v>44987.63854166667</v>
      </c>
      <c r="AG9">
        <v>1</v>
      </c>
      <c r="AH9">
        <v>0</v>
      </c>
      <c r="AI9">
        <v>0</v>
      </c>
      <c r="AJ9">
        <f>""</f>
      </c>
      <c r="AN9">
        <v>0</v>
      </c>
    </row>
    <row r="10" spans="1:40" ht="18" customHeight="1">
      <c r="A10" t="str">
        <f>"141720230228180225340725"</f>
        <v>141720230228180225340725</v>
      </c>
      <c r="B10" t="s">
        <v>46</v>
      </c>
      <c r="C10" t="str">
        <f>"关飞燕"</f>
        <v>关飞燕</v>
      </c>
      <c r="D10" t="str">
        <f t="shared" si="0"/>
        <v>女</v>
      </c>
      <c r="E10" t="str">
        <f>"1991-10"</f>
        <v>1991-10</v>
      </c>
      <c r="F10" t="str">
        <f>"安徽瑶海区"</f>
        <v>安徽瑶海区</v>
      </c>
      <c r="G10" t="str">
        <f t="shared" si="3"/>
        <v>汉族</v>
      </c>
      <c r="H10" t="str">
        <f>"群众"</f>
        <v>群众</v>
      </c>
      <c r="I10" t="str">
        <f>"340123199110208400"</f>
        <v>340123199110208400</v>
      </c>
      <c r="J10" t="str">
        <f>"已婚"</f>
        <v>已婚</v>
      </c>
      <c r="K10" t="str">
        <f aca="true" t="shared" si="4" ref="K10:K25">"本科"</f>
        <v>本科</v>
      </c>
      <c r="L10" t="str">
        <f>"无"</f>
        <v>无</v>
      </c>
      <c r="M10" t="str">
        <f>"学前教育"</f>
        <v>学前教育</v>
      </c>
      <c r="N10" t="str">
        <f>"安徽师范大学"</f>
        <v>安徽师范大学</v>
      </c>
      <c r="O10" t="str">
        <f>"2019.7"</f>
        <v>2019.7</v>
      </c>
      <c r="P10" t="str">
        <f>"专科"</f>
        <v>专科</v>
      </c>
      <c r="Q10" t="str">
        <f>"无"</f>
        <v>无</v>
      </c>
      <c r="R10" t="str">
        <f>"学前教育"</f>
        <v>学前教育</v>
      </c>
      <c r="S10" t="str">
        <f>"合肥师范学院"</f>
        <v>合肥师范学院</v>
      </c>
      <c r="T10" t="str">
        <f>"2012.7"</f>
        <v>2012.7</v>
      </c>
      <c r="U10" t="str">
        <f>"园长资格证，教师资格证，中级育婴师等"</f>
        <v>园长资格证，教师资格证，中级育婴师等</v>
      </c>
      <c r="V10" t="str">
        <f>"11年"</f>
        <v>11年</v>
      </c>
      <c r="W10" t="str">
        <f>"二级教师"</f>
        <v>二级教师</v>
      </c>
      <c r="X10" t="str">
        <f t="shared" si="2"/>
        <v>是</v>
      </c>
      <c r="Y10" t="str">
        <f>"合肥瑶海京狮春暖花开幼儿园"</f>
        <v>合肥瑶海京狮春暖花开幼儿园</v>
      </c>
      <c r="Z10" t="str">
        <f>"19930120130"</f>
        <v>19930120130</v>
      </c>
      <c r="AA10" t="str">
        <f>"合肥市瑶海区正荣悦都荟"</f>
        <v>合肥市瑶海区正荣悦都荟</v>
      </c>
      <c r="AB10" s="1" t="str">
        <f>"教育：2007.9-2012.7 合肥师范学院（合肥幼专）学生；2017.2-2019.7安徽师范大学  学生；工作：2012.7-2014.12 合肥天使幼教集团 教师；2014.9-2017.6 合肥瑶海和平家园幼儿园 教师；2017.9-2018.2 合肥市合铁家园幼儿园 教师；2018.2-至今 合肥瑶海京狮春暖花开幼儿园 副园长；
"</f>
        <v>教育：2007.9-2012.7 合肥师范学院（合肥幼专）学生；2017.2-2019.7安徽师范大学  学生；工作：2012.7-2014.12 合肥天使幼教集团 教师；2014.9-2017.6 合肥瑶海和平家园幼儿园 教师；2017.9-2018.2 合肥市合铁家园幼儿园 教师；2018.2-至今 合肥瑶海京狮春暖花开幼儿园 副园长；
</v>
      </c>
      <c r="AC10" s="1" t="s">
        <v>54</v>
      </c>
      <c r="AD10" t="str">
        <f>"硬笔书法；"</f>
        <v>硬笔书法；</v>
      </c>
      <c r="AE10" t="str">
        <f>"夫|王进|合肥市公安局瑶海分局|辅警||||||||"</f>
        <v>夫|王进|合肥市公安局瑶海分局|辅警||||||||</v>
      </c>
      <c r="AF10" s="2">
        <v>44987.62385416667</v>
      </c>
      <c r="AG10">
        <v>1</v>
      </c>
      <c r="AH10">
        <v>0</v>
      </c>
      <c r="AI10">
        <v>0</v>
      </c>
      <c r="AJ10">
        <f>""</f>
      </c>
      <c r="AN10">
        <v>0</v>
      </c>
    </row>
    <row r="11" spans="1:40" ht="18" customHeight="1">
      <c r="A11" t="str">
        <f>"141720230301122517340778"</f>
        <v>141720230301122517340778</v>
      </c>
      <c r="B11" t="s">
        <v>46</v>
      </c>
      <c r="C11" t="str">
        <f>"钱琼琼"</f>
        <v>钱琼琼</v>
      </c>
      <c r="D11" t="str">
        <f t="shared" si="0"/>
        <v>女</v>
      </c>
      <c r="E11" t="str">
        <f>"1989-11"</f>
        <v>1989-11</v>
      </c>
      <c r="F11" t="str">
        <f>"安徽瑶海"</f>
        <v>安徽瑶海</v>
      </c>
      <c r="G11" t="str">
        <f t="shared" si="3"/>
        <v>汉族</v>
      </c>
      <c r="H11" t="str">
        <f>"中共党员"</f>
        <v>中共党员</v>
      </c>
      <c r="I11" t="str">
        <f>"34222419891102132X"</f>
        <v>34222419891102132X</v>
      </c>
      <c r="J11" t="str">
        <f>"未婚"</f>
        <v>未婚</v>
      </c>
      <c r="K11" t="str">
        <f t="shared" si="4"/>
        <v>本科</v>
      </c>
      <c r="L11" t="str">
        <f>"无"</f>
        <v>无</v>
      </c>
      <c r="M11" t="str">
        <f>"学前教育专业"</f>
        <v>学前教育专业</v>
      </c>
      <c r="N11" t="str">
        <f>"安徽师范大学"</f>
        <v>安徽师范大学</v>
      </c>
      <c r="O11" t="str">
        <f>"2021-07"</f>
        <v>2021-07</v>
      </c>
      <c r="P11" t="str">
        <f>"专科"</f>
        <v>专科</v>
      </c>
      <c r="Q11" t="str">
        <f>"无"</f>
        <v>无</v>
      </c>
      <c r="R11" t="str">
        <f>"学前教育"</f>
        <v>学前教育</v>
      </c>
      <c r="S11" t="str">
        <f>"合肥幼儿高等师范学校"</f>
        <v>合肥幼儿高等师范学校</v>
      </c>
      <c r="T11" t="str">
        <f>"2011-07"</f>
        <v>2011-07</v>
      </c>
      <c r="U11" t="str">
        <f>"教师资格证"</f>
        <v>教师资格证</v>
      </c>
      <c r="V11" t="str">
        <f>"12年"</f>
        <v>12年</v>
      </c>
      <c r="W11" t="str">
        <f>"二级"</f>
        <v>二级</v>
      </c>
      <c r="X11" t="str">
        <f t="shared" si="2"/>
        <v>是</v>
      </c>
      <c r="Y11" t="str">
        <f>"合肥文浍苑幼儿园"</f>
        <v>合肥文浍苑幼儿园</v>
      </c>
      <c r="Z11" t="str">
        <f>"15055159983"</f>
        <v>15055159983</v>
      </c>
      <c r="AA11" t="str">
        <f>"瑶海区银河利港"</f>
        <v>瑶海区银河利港</v>
      </c>
      <c r="AB11" s="1" t="str">
        <f>"1.2006.09-2011.07  合肥幼儿师范高等专科学校
2.2019.02-2021.07  安徽师范大学
3.2011.02-2013.06  京狮江汽六村幼儿园  教师
4.2013.09-2019.06  红缨时代幼儿园  教研组长
5.2019.09-至今     合肥文浍苑幼儿园  业务园长"</f>
        <v>1.2006.09-2011.07  合肥幼儿师范高等专科学校
2.2019.02-2021.07  安徽师范大学
3.2011.02-2013.06  京狮江汽六村幼儿园  教师
4.2013.09-2019.06  红缨时代幼儿园  教研组长
5.2019.09-至今     合肥文浍苑幼儿园  业务园长</v>
      </c>
      <c r="AC11" s="1" t="str">
        <f>"2014.12    获得包河区“生本智慧课堂二等奖”
2017.12    获得包河区青年教师个人特等奖
2017.12    获得包河区青年教师舞蹈一等奖
2017.12    获得包河区青年教师钢琴二等奖
2017.12    获得包河区青年教师讲故事三等奖"</f>
        <v>2014.12    获得包河区“生本智慧课堂二等奖”
2017.12    获得包河区青年教师个人特等奖
2017.12    获得包河区青年教师舞蹈一等奖
2017.12    获得包河区青年教师钢琴二等奖
2017.12    获得包河区青年教师讲故事三等奖</v>
      </c>
      <c r="AD11" t="str">
        <f>"舞蹈"</f>
        <v>舞蹈</v>
      </c>
      <c r="AE11" t="str">
        <f>"父亲|钱成岭|个体||目前|张灵芝|个体|||||"</f>
        <v>父亲|钱成岭|个体||目前|张灵芝|个体|||||</v>
      </c>
      <c r="AF11" s="2">
        <v>44987.62982638889</v>
      </c>
      <c r="AG11">
        <v>1</v>
      </c>
      <c r="AH11">
        <v>0</v>
      </c>
      <c r="AI11">
        <v>0</v>
      </c>
      <c r="AJ11">
        <f>""</f>
      </c>
      <c r="AN11">
        <v>0</v>
      </c>
    </row>
    <row r="12" spans="1:40" ht="18" customHeight="1">
      <c r="A12" t="str">
        <f>"141720230301214033340851"</f>
        <v>141720230301214033340851</v>
      </c>
      <c r="B12" t="s">
        <v>46</v>
      </c>
      <c r="C12" t="str">
        <f>"周兰霞"</f>
        <v>周兰霞</v>
      </c>
      <c r="D12" t="str">
        <f t="shared" si="0"/>
        <v>女</v>
      </c>
      <c r="E12" t="str">
        <f>"1989-05"</f>
        <v>1989-05</v>
      </c>
      <c r="F12" t="str">
        <f>"安徽黄山"</f>
        <v>安徽黄山</v>
      </c>
      <c r="G12" t="str">
        <f t="shared" si="3"/>
        <v>汉族</v>
      </c>
      <c r="H12" t="str">
        <f>"群众"</f>
        <v>群众</v>
      </c>
      <c r="I12" t="str">
        <f>"341021198905125965"</f>
        <v>341021198905125965</v>
      </c>
      <c r="J12" t="str">
        <f>"已婚"</f>
        <v>已婚</v>
      </c>
      <c r="K12" t="str">
        <f t="shared" si="4"/>
        <v>本科</v>
      </c>
      <c r="L12" t="str">
        <f>"无"</f>
        <v>无</v>
      </c>
      <c r="M12" t="str">
        <f>"学前教育"</f>
        <v>学前教育</v>
      </c>
      <c r="N12" t="str">
        <f>"华东师范大学"</f>
        <v>华东师范大学</v>
      </c>
      <c r="O12" t="str">
        <f>"2022.01"</f>
        <v>2022.01</v>
      </c>
      <c r="P12" t="str">
        <f>"大专"</f>
        <v>大专</v>
      </c>
      <c r="Q12" t="str">
        <f>"无"</f>
        <v>无</v>
      </c>
      <c r="R12" t="str">
        <f>"初等教育"</f>
        <v>初等教育</v>
      </c>
      <c r="S12" t="str">
        <f>"黄山学院"</f>
        <v>黄山学院</v>
      </c>
      <c r="T12" t="str">
        <f>"2010.07"</f>
        <v>2010.07</v>
      </c>
      <c r="U12" t="str">
        <f>"幼儿教师资格证书、普通话证书、园长证、家庭教育指导师（高级）"</f>
        <v>幼儿教师资格证书、普通话证书、园长证、家庭教育指导师（高级）</v>
      </c>
      <c r="V12" t="str">
        <f>"13"</f>
        <v>13</v>
      </c>
      <c r="W12" t="str">
        <f>"二级教师"</f>
        <v>二级教师</v>
      </c>
      <c r="X12" t="str">
        <f>"否"</f>
        <v>否</v>
      </c>
      <c r="Y12" t="str">
        <f>"无"</f>
        <v>无</v>
      </c>
      <c r="Z12" t="str">
        <f>"15156990436"</f>
        <v>15156990436</v>
      </c>
      <c r="AA12" t="str">
        <f>"合肥市肥东县华润紫玥台"</f>
        <v>合肥市肥东县华润紫玥台</v>
      </c>
      <c r="AB12" s="1" t="str">
        <f>"2004.09-2008.06徽州师范  学生
2008.09-2010.06黄山学院  学生
2009年-2011年在华英星海园（市级一类园）任教师
2012年-2016年在华英星海园（市级一类园）任教师兼保教组长
2017年-2018年在华英阳光园（市级一类园）任业务园长
2019年-2022年在华英裕和兴苑园（新园）任园长"</f>
        <v>2004.09-2008.06徽州师范  学生
2008.09-2010.06黄山学院  学生
2009年-2011年在华英星海园（市级一类园）任教师
2012年-2016年在华英星海园（市级一类园）任教师兼保教组长
2017年-2018年在华英阳光园（市级一类园）任业务园长
2019年-2022年在华英裕和兴苑园（新园）任园长</v>
      </c>
      <c r="AC12" s="1" t="s">
        <v>58</v>
      </c>
      <c r="AD12" t="str">
        <f>"教学管理"</f>
        <v>教学管理</v>
      </c>
      <c r="AE12" t="str">
        <f>"丈夫|范培琨|合肥菜洋洋电子商务公司|经理||||||||"</f>
        <v>丈夫|范培琨|合肥菜洋洋电子商务公司|经理||||||||</v>
      </c>
      <c r="AF12" s="2">
        <v>44987.43105324074</v>
      </c>
      <c r="AG12">
        <v>1</v>
      </c>
      <c r="AH12">
        <v>0</v>
      </c>
      <c r="AI12">
        <v>0</v>
      </c>
      <c r="AJ12">
        <f>""</f>
      </c>
      <c r="AN12">
        <v>0</v>
      </c>
    </row>
    <row r="13" spans="1:40" ht="18" customHeight="1">
      <c r="A13" t="str">
        <f>"141720230301224218340862"</f>
        <v>141720230301224218340862</v>
      </c>
      <c r="B13" t="s">
        <v>46</v>
      </c>
      <c r="C13" t="str">
        <f>"刘艳"</f>
        <v>刘艳</v>
      </c>
      <c r="D13" t="str">
        <f t="shared" si="0"/>
        <v>女</v>
      </c>
      <c r="E13" t="str">
        <f>"1985-08"</f>
        <v>1985-08</v>
      </c>
      <c r="F13" t="str">
        <f>"安徽淮南"</f>
        <v>安徽淮南</v>
      </c>
      <c r="G13" t="str">
        <f t="shared" si="3"/>
        <v>汉族</v>
      </c>
      <c r="H13" t="str">
        <f>"群众"</f>
        <v>群众</v>
      </c>
      <c r="I13" t="str">
        <f>"340421198507185226"</f>
        <v>340421198507185226</v>
      </c>
      <c r="J13" t="str">
        <f>"已婚"</f>
        <v>已婚</v>
      </c>
      <c r="K13" t="str">
        <f t="shared" si="4"/>
        <v>本科</v>
      </c>
      <c r="L13" t="str">
        <f>"学士"</f>
        <v>学士</v>
      </c>
      <c r="M13" t="str">
        <f>"教育"</f>
        <v>教育</v>
      </c>
      <c r="N13" t="str">
        <f>"黄山学院"</f>
        <v>黄山学院</v>
      </c>
      <c r="O13" t="str">
        <f>"2007-07"</f>
        <v>2007-07</v>
      </c>
      <c r="P13" t="str">
        <f>"本科"</f>
        <v>本科</v>
      </c>
      <c r="Q13" t="str">
        <f>"学士"</f>
        <v>学士</v>
      </c>
      <c r="R13" t="str">
        <f>"教育"</f>
        <v>教育</v>
      </c>
      <c r="S13" t="str">
        <f>"黄山学院"</f>
        <v>黄山学院</v>
      </c>
      <c r="T13" t="str">
        <f>"2007-07"</f>
        <v>2007-07</v>
      </c>
      <c r="U13" t="str">
        <f>"103357200705000921"</f>
        <v>103357200705000921</v>
      </c>
      <c r="V13" t="str">
        <f>"16年"</f>
        <v>16年</v>
      </c>
      <c r="W13" t="str">
        <f>"小教一级"</f>
        <v>小教一级</v>
      </c>
      <c r="X13" t="str">
        <f aca="true" t="shared" si="5" ref="X13:X34">"是"</f>
        <v>是</v>
      </c>
      <c r="Y13" t="str">
        <f>"合肥高新海棠湾幼儿园"</f>
        <v>合肥高新海棠湾幼儿园</v>
      </c>
      <c r="Z13" t="str">
        <f>"13866172025"</f>
        <v>13866172025</v>
      </c>
      <c r="AA13" t="str">
        <f>"合肥市蜀山区社岗路金色池塘水魔方31栋"</f>
        <v>合肥市蜀山区社岗路金色池塘水魔方31栋</v>
      </c>
      <c r="AB13" s="1" t="str">
        <f>"2000.9~2005.7    合肥幼儿师范专科学校
2005.9~2007.7    黄山学院
2007.9～2016.6   合钢三厂幼儿园 教师 教研组长
2016.8～2020     合肥栢悦幼儿园 教师 业务园长
2021～           合肥高新海棠湾幼儿园 业务园长"</f>
        <v>2000.9~2005.7    合肥幼儿师范专科学校
2005.9~2007.7    黄山学院
2007.9～2016.6   合钢三厂幼儿园 教师 教研组长
2016.8～2020     合肥栢悦幼儿园 教师 业务园长
2021～           合肥高新海棠湾幼儿园 业务园长</v>
      </c>
      <c r="AC13" s="1" t="s">
        <v>59</v>
      </c>
      <c r="AD13" t="str">
        <f>"阅读、舞蹈"</f>
        <v>阅读、舞蹈</v>
      </c>
      <c r="AE13" t="str">
        <f>"丈夫|吴周明|合肥中科合聚材料科技有限公司|高管|子女|吴玥莹|||子女|吴尚袀||"</f>
        <v>丈夫|吴周明|合肥中科合聚材料科技有限公司|高管|子女|吴玥莹|||子女|吴尚袀||</v>
      </c>
      <c r="AF13" s="2">
        <v>44987.6415625</v>
      </c>
      <c r="AG13">
        <v>1</v>
      </c>
      <c r="AH13">
        <v>0</v>
      </c>
      <c r="AI13">
        <v>0</v>
      </c>
      <c r="AJ13">
        <f>""</f>
      </c>
      <c r="AN13">
        <v>0</v>
      </c>
    </row>
    <row r="14" spans="1:40" ht="18" customHeight="1">
      <c r="A14" t="str">
        <f>"141720230226090425340195"</f>
        <v>141720230226090425340195</v>
      </c>
      <c r="B14" t="s">
        <v>43</v>
      </c>
      <c r="C14" t="str">
        <f>"杨明月"</f>
        <v>杨明月</v>
      </c>
      <c r="D14" t="str">
        <f t="shared" si="0"/>
        <v>女</v>
      </c>
      <c r="E14" t="str">
        <f>"1984-09"</f>
        <v>1984-09</v>
      </c>
      <c r="F14" t="str">
        <f>"安徽省肥西县"</f>
        <v>安徽省肥西县</v>
      </c>
      <c r="G14" t="str">
        <f t="shared" si="3"/>
        <v>汉族</v>
      </c>
      <c r="H14" t="str">
        <f>"中共党员"</f>
        <v>中共党员</v>
      </c>
      <c r="I14" t="str">
        <f>"340122198409162266"</f>
        <v>340122198409162266</v>
      </c>
      <c r="J14" t="str">
        <f>"已婚"</f>
        <v>已婚</v>
      </c>
      <c r="K14" t="str">
        <f t="shared" si="4"/>
        <v>本科</v>
      </c>
      <c r="L14" t="str">
        <f>"无"</f>
        <v>无</v>
      </c>
      <c r="M14" t="str">
        <f aca="true" t="shared" si="6" ref="M14:M20">"学前教育"</f>
        <v>学前教育</v>
      </c>
      <c r="N14" t="str">
        <f>"安徽师范大学"</f>
        <v>安徽师范大学</v>
      </c>
      <c r="O14" t="str">
        <f>"2017年7月1日"</f>
        <v>2017年7月1日</v>
      </c>
      <c r="P14" t="str">
        <f>"中专"</f>
        <v>中专</v>
      </c>
      <c r="Q14" t="str">
        <f>"无"</f>
        <v>无</v>
      </c>
      <c r="R14" t="str">
        <f>"幼儿艺术教育"</f>
        <v>幼儿艺术教育</v>
      </c>
      <c r="S14" t="str">
        <f>"肥西金桥高级职业中学"</f>
        <v>肥西金桥高级职业中学</v>
      </c>
      <c r="T14" t="str">
        <f>"2004年6月"</f>
        <v>2004年6月</v>
      </c>
      <c r="U14" t="str">
        <f>"教师资格证    园长证"</f>
        <v>教师资格证    园长证</v>
      </c>
      <c r="V14" t="str">
        <f>"19"</f>
        <v>19</v>
      </c>
      <c r="W14" t="str">
        <f>"二级教师"</f>
        <v>二级教师</v>
      </c>
      <c r="X14" t="str">
        <f t="shared" si="5"/>
        <v>是</v>
      </c>
      <c r="Y14" t="str">
        <f>"合肥瑶海璟泰幼儿园"</f>
        <v>合肥瑶海璟泰幼儿园</v>
      </c>
      <c r="Z14" t="str">
        <f>"13665603172"</f>
        <v>13665603172</v>
      </c>
      <c r="AA14" t="str">
        <f>"瑶海区橘郡万绿园"</f>
        <v>瑶海区橘郡万绿园</v>
      </c>
      <c r="AB14" s="1" t="str">
        <f>"2001年9月--2003年5月肥西金桥高级职业中学学生。
2003年6月--2004年6月合肥瑶海三心幼儿园实习老师。
2004年7月--2012年6月合肥瑶海三心幼儿园老师及教研组长。
2012年9月--2014年1月合肥瑶海璟泰幼儿园园长助理。
2014年2月--2015年6月合肥瑶海璟泰幼儿园主任。
2015年9月--至今合肥瑶海璟泰幼儿园副园长。
"</f>
        <v>2001年9月--2003年5月肥西金桥高级职业中学学生。
2003年6月--2004年6月合肥瑶海三心幼儿园实习老师。
2004年7月--2012年6月合肥瑶海三心幼儿园老师及教研组长。
2012年9月--2014年1月合肥瑶海璟泰幼儿园园长助理。
2014年2月--2015年6月合肥瑶海璟泰幼儿园主任。
2015年9月--至今合肥瑶海璟泰幼儿园副园长。
</v>
      </c>
      <c r="AC14" s="1" t="s">
        <v>45</v>
      </c>
      <c r="AD14" t="str">
        <f>"绘画、舞蹈等"</f>
        <v>绘画、舞蹈等</v>
      </c>
      <c r="AE14" t="str">
        <f>"丈夫|王帅|合肥瑶海万达分公司|工程师|女儿|王乐琪|合肥少儿艺术学校|学生||||"</f>
        <v>丈夫|王帅|合肥瑶海万达分公司|工程师|女儿|王乐琪|合肥少儿艺术学校|学生||||</v>
      </c>
      <c r="AF14" s="2">
        <v>44987.63119212963</v>
      </c>
      <c r="AG14">
        <v>1</v>
      </c>
      <c r="AH14">
        <v>0</v>
      </c>
      <c r="AI14">
        <v>0</v>
      </c>
      <c r="AJ14">
        <f>""</f>
      </c>
      <c r="AN14">
        <v>0</v>
      </c>
    </row>
    <row r="15" spans="1:40" ht="18" customHeight="1">
      <c r="A15" t="str">
        <f>"141720230226111033340253"</f>
        <v>141720230226111033340253</v>
      </c>
      <c r="B15" t="s">
        <v>43</v>
      </c>
      <c r="C15" t="str">
        <f>"王家佳"</f>
        <v>王家佳</v>
      </c>
      <c r="D15" t="str">
        <f t="shared" si="0"/>
        <v>女</v>
      </c>
      <c r="E15" t="str">
        <f>"1996-8"</f>
        <v>1996-8</v>
      </c>
      <c r="F15" t="str">
        <f>"安徽瑶海区"</f>
        <v>安徽瑶海区</v>
      </c>
      <c r="G15" t="str">
        <f t="shared" si="3"/>
        <v>汉族</v>
      </c>
      <c r="H15" t="str">
        <f>"共青团员"</f>
        <v>共青团员</v>
      </c>
      <c r="I15" t="str">
        <f>"340123199608163342"</f>
        <v>340123199608163342</v>
      </c>
      <c r="J15" t="str">
        <f>"已婚"</f>
        <v>已婚</v>
      </c>
      <c r="K15" t="str">
        <f t="shared" si="4"/>
        <v>本科</v>
      </c>
      <c r="L15" t="str">
        <f>"无"</f>
        <v>无</v>
      </c>
      <c r="M15" t="str">
        <f t="shared" si="6"/>
        <v>学前教育</v>
      </c>
      <c r="N15" t="str">
        <f>"国家开放大学"</f>
        <v>国家开放大学</v>
      </c>
      <c r="O15" t="str">
        <f>"2019年7月"</f>
        <v>2019年7月</v>
      </c>
      <c r="P15" t="str">
        <f>"大专"</f>
        <v>大专</v>
      </c>
      <c r="Q15" t="str">
        <f>"无"</f>
        <v>无</v>
      </c>
      <c r="R15" t="str">
        <f>"学前教育"</f>
        <v>学前教育</v>
      </c>
      <c r="S15" t="str">
        <f>"合肥幼儿师范高等专科学校"</f>
        <v>合肥幼儿师范高等专科学校</v>
      </c>
      <c r="T15" t="str">
        <f>"2016年7月"</f>
        <v>2016年7月</v>
      </c>
      <c r="U15" t="str">
        <f>"幼儿园教师资格证"</f>
        <v>幼儿园教师资格证</v>
      </c>
      <c r="V15" t="str">
        <f>"7年幼儿园教师工作经验，3年后勤工作- 保健老师及食品安全管理员兼校园安全员"</f>
        <v>7年幼儿园教师工作经验，3年后勤工作- 保健老师及食品安全管理员兼校园安全员</v>
      </c>
      <c r="W15" t="str">
        <f>"二级教师"</f>
        <v>二级教师</v>
      </c>
      <c r="X15" t="str">
        <f t="shared" si="5"/>
        <v>是</v>
      </c>
      <c r="Y15" t="str">
        <f>"合肥市直属机关幼儿园"</f>
        <v>合肥市直属机关幼儿园</v>
      </c>
      <c r="Z15" t="str">
        <f>"18256090007"</f>
        <v>18256090007</v>
      </c>
      <c r="AA15" t="str">
        <f>"合肥市瑶海区聚福家园"</f>
        <v>合肥市瑶海区聚福家园</v>
      </c>
      <c r="AB15" s="1" t="str">
        <f>"教育简历：
2011.9-2016.7 合肥幼儿师范高等专科学校学前教育专业学生
2017.3-2019.7 国家开放大学学前教育专业学生
工作简历：
2015.9-2015.12 合肥市双岗幼儿园 实习老师
2016.1-2016.6  合肥市直属机关幼儿园 顶岗实习教师
2016.9-至今    合肥市直属机关幼儿园陆续担任班主任教师、团支部组织委员、保健老师、食品安全管理员兼校园安全员"</f>
        <v>教育简历：
2011.9-2016.7 合肥幼儿师范高等专科学校学前教育专业学生
2017.3-2019.7 国家开放大学学前教育专业学生
工作简历：
2015.9-2015.12 合肥市双岗幼儿园 实习老师
2016.1-2016.6  合肥市直属机关幼儿园 顶岗实习教师
2016.9-至今    合肥市直属机关幼儿园陆续担任班主任教师、团支部组织委员、保健老师、食品安全管理员兼校园安全员</v>
      </c>
      <c r="AC15" t="str">
        <f>"合肥市中小学“先进班集体”,庐阳区第八届幼儿园课堂教学评比“二等奖”,庐阳区“优秀共青团员”,庐阳区区级“先进班集体”,市直幼“优秀班主任”,市直幼应用信息技术教学大赛中“一等奖”,市直幼信息技术运用教学课件大赛“一等奖”。在本人食堂管理下市直幼荣获“合肥市餐饮服务食品安全量化分级A级食堂”"</f>
        <v>合肥市中小学“先进班集体”,庐阳区第八届幼儿园课堂教学评比“二等奖”,庐阳区“优秀共青团员”,庐阳区区级“先进班集体”,市直幼“优秀班主任”,市直幼应用信息技术教学大赛中“一等奖”,市直幼信息技术运用教学课件大赛“一等奖”。在本人食堂管理下市直幼荣获“合肥市餐饮服务食品安全量化分级A级食堂”</v>
      </c>
      <c r="AD15" t="str">
        <f>"具有较强的管理能力、组织能力及协调能力，对幼儿有爱心对工作有责任心，踏实肯干，除幼儿一日生活组织教学等能力外拥有食堂管理工作经验及校园安全工作经验，熟练操作各类办公软件。"</f>
        <v>具有较强的管理能力、组织能力及协调能力，对幼儿有爱心对工作有责任心，踏实肯干，除幼儿一日生活组织教学等能力外拥有食堂管理工作经验及校园安全工作经验，熟练操作各类办公软件。</v>
      </c>
      <c r="AE15" t="str">
        <f>"爱人|凌云凯|合肥七哥食品有限责任公司|研发||||||||"</f>
        <v>爱人|凌云凯|合肥七哥食品有限责任公司|研发||||||||</v>
      </c>
      <c r="AF15" s="2">
        <v>44986.645324074074</v>
      </c>
      <c r="AG15">
        <v>1</v>
      </c>
      <c r="AH15">
        <v>0</v>
      </c>
      <c r="AI15">
        <v>0</v>
      </c>
      <c r="AJ15">
        <f>""</f>
      </c>
      <c r="AN15">
        <v>0</v>
      </c>
    </row>
    <row r="16" spans="1:40" ht="18" customHeight="1">
      <c r="A16" t="str">
        <f>"141720230226184836340351"</f>
        <v>141720230226184836340351</v>
      </c>
      <c r="B16" t="s">
        <v>43</v>
      </c>
      <c r="C16" t="str">
        <f>"潘晓慧"</f>
        <v>潘晓慧</v>
      </c>
      <c r="D16" t="str">
        <f t="shared" si="0"/>
        <v>女</v>
      </c>
      <c r="E16" t="str">
        <f>"1992-10"</f>
        <v>1992-10</v>
      </c>
      <c r="F16" t="str">
        <f>"安徽省阜阳市颍泉区"</f>
        <v>安徽省阜阳市颍泉区</v>
      </c>
      <c r="G16" t="str">
        <f t="shared" si="3"/>
        <v>汉族</v>
      </c>
      <c r="H16" t="str">
        <f>"群众"</f>
        <v>群众</v>
      </c>
      <c r="I16" t="str">
        <f>"341204199210060623"</f>
        <v>341204199210060623</v>
      </c>
      <c r="J16" t="str">
        <f>"未婚"</f>
        <v>未婚</v>
      </c>
      <c r="K16" t="str">
        <f t="shared" si="4"/>
        <v>本科</v>
      </c>
      <c r="L16" t="str">
        <f>"本科"</f>
        <v>本科</v>
      </c>
      <c r="M16" t="str">
        <f t="shared" si="6"/>
        <v>学前教育</v>
      </c>
      <c r="N16" t="str">
        <f>"阜阳师范学院"</f>
        <v>阜阳师范学院</v>
      </c>
      <c r="O16" t="str">
        <f>"2016年"</f>
        <v>2016年</v>
      </c>
      <c r="P16" t="str">
        <f>"大专"</f>
        <v>大专</v>
      </c>
      <c r="Q16" t="str">
        <f>"专科"</f>
        <v>专科</v>
      </c>
      <c r="R16" t="str">
        <f>"学前教育"</f>
        <v>学前教育</v>
      </c>
      <c r="S16" t="str">
        <f>"亳州师范专科学校"</f>
        <v>亳州师范专科学校</v>
      </c>
      <c r="T16" t="str">
        <f>"2013年"</f>
        <v>2013年</v>
      </c>
      <c r="U16" t="str">
        <f>"幼儿教师资格证"</f>
        <v>幼儿教师资格证</v>
      </c>
      <c r="V16" t="str">
        <f>"3年"</f>
        <v>3年</v>
      </c>
      <c r="W16" t="str">
        <f>"二级教师"</f>
        <v>二级教师</v>
      </c>
      <c r="X16" t="str">
        <f t="shared" si="5"/>
        <v>是</v>
      </c>
      <c r="Y16" t="str">
        <f>"阜南县朱寨镇"</f>
        <v>阜南县朱寨镇</v>
      </c>
      <c r="Z16" t="str">
        <f>"15755868530"</f>
        <v>15755868530</v>
      </c>
      <c r="AA16" t="str">
        <f>"阜阳市颖州区"</f>
        <v>阜阳市颖州区</v>
      </c>
      <c r="AB16" s="1" t="str">
        <f>"2005-2008年阜阳七中学生
2008-2013年亳州师范专科学校
2013-2019年阜南县朱寨镇幼儿教师
2019至今阜南县朱寨镇园长职务"</f>
        <v>2005-2008年阜阳七中学生
2008-2013年亳州师范专科学校
2013-2019年阜南县朱寨镇幼儿教师
2019至今阜南县朱寨镇园长职务</v>
      </c>
      <c r="AC16" t="str">
        <f>"县级劳动模范称号"</f>
        <v>县级劳动模范称号</v>
      </c>
      <c r="AD16" t="str">
        <f>"善于观察，善于沟通交流，善于发现问题解决问题"</f>
        <v>善于观察，善于沟通交流，善于发现问题解决问题</v>
      </c>
      <c r="AE16" t="str">
        <f>"父亲|张金来|||母亲|潘士侠|颍泉区粮站||妹妹|潘晓婷|颖州区工会|"</f>
        <v>父亲|张金来|||母亲|潘士侠|颍泉区粮站||妹妹|潘晓婷|颖州区工会|</v>
      </c>
      <c r="AF16" s="2">
        <v>44987.63164351852</v>
      </c>
      <c r="AG16">
        <v>1</v>
      </c>
      <c r="AH16">
        <v>0</v>
      </c>
      <c r="AI16">
        <v>0</v>
      </c>
      <c r="AJ16">
        <f>""</f>
      </c>
      <c r="AN16">
        <v>0</v>
      </c>
    </row>
    <row r="17" spans="1:40" ht="18" customHeight="1">
      <c r="A17" t="str">
        <f>"141720230228112818340667"</f>
        <v>141720230228112818340667</v>
      </c>
      <c r="B17" t="s">
        <v>43</v>
      </c>
      <c r="C17" t="str">
        <f>"陈菊青"</f>
        <v>陈菊青</v>
      </c>
      <c r="D17" t="str">
        <f t="shared" si="0"/>
        <v>女</v>
      </c>
      <c r="E17" t="str">
        <f>"1988-9"</f>
        <v>1988-9</v>
      </c>
      <c r="F17" t="str">
        <f>"安徽肥东"</f>
        <v>安徽肥东</v>
      </c>
      <c r="G17" t="str">
        <f t="shared" si="3"/>
        <v>汉族</v>
      </c>
      <c r="H17" t="str">
        <f>"群众"</f>
        <v>群众</v>
      </c>
      <c r="I17" t="str">
        <f>"340123198809245286"</f>
        <v>340123198809245286</v>
      </c>
      <c r="J17" t="str">
        <f>"已婚"</f>
        <v>已婚</v>
      </c>
      <c r="K17" t="str">
        <f t="shared" si="4"/>
        <v>本科</v>
      </c>
      <c r="L17" t="str">
        <f>"无"</f>
        <v>无</v>
      </c>
      <c r="M17" t="str">
        <f t="shared" si="6"/>
        <v>学前教育</v>
      </c>
      <c r="N17" t="str">
        <f>"淮北师范大学"</f>
        <v>淮北师范大学</v>
      </c>
      <c r="O17" t="str">
        <f>"2022年7 月"</f>
        <v>2022年7 月</v>
      </c>
      <c r="P17" t="str">
        <f>"大专"</f>
        <v>大专</v>
      </c>
      <c r="Q17" t="str">
        <f>" 无"</f>
        <v> 无</v>
      </c>
      <c r="R17" t="str">
        <f>"学前教育"</f>
        <v>学前教育</v>
      </c>
      <c r="S17" t="str">
        <f>"安徽科技学院"</f>
        <v>安徽科技学院</v>
      </c>
      <c r="T17" t="str">
        <f>"2015年7月"</f>
        <v>2015年7月</v>
      </c>
      <c r="U17" t="str">
        <f>"幼儿园教师资格证，园长任职资格证"</f>
        <v>幼儿园教师资格证，园长任职资格证</v>
      </c>
      <c r="V17" t="str">
        <f>"6年"</f>
        <v>6年</v>
      </c>
      <c r="W17" t="str">
        <f>"无"</f>
        <v>无</v>
      </c>
      <c r="X17" t="str">
        <f t="shared" si="5"/>
        <v>是</v>
      </c>
      <c r="Y17" t="str">
        <f>"合肥庐阳尚品幼儿园"</f>
        <v>合肥庐阳尚品幼儿园</v>
      </c>
      <c r="Z17" t="str">
        <f>"15156078335"</f>
        <v>15156078335</v>
      </c>
      <c r="AA17" t="str">
        <f>"中铁国际城品园"</f>
        <v>中铁国际城品园</v>
      </c>
      <c r="AB17" t="str">
        <f>"2006-2008.7肥东县梁园学校学生；2008.9-2016.6合肥星火幼儿园教师2016.9-2019.6合肥庐阳尚品幼儿园后勤主任；2019.9-2021.6淮南寿县和谐托育幼儿园执行园长；2021.9至今合肥庐阳尚品幼儿园执行园长"</f>
        <v>2006-2008.7肥东县梁园学校学生；2008.9-2016.6合肥星火幼儿园教师2016.9-2019.6合肥庐阳尚品幼儿园后勤主任；2019.9-2021.6淮南寿县和谐托育幼儿园执行园长；2021.9至今合肥庐阳尚品幼儿园执行园长</v>
      </c>
      <c r="AC17" t="str">
        <f>"2022年获得庐阳区宿幼联盟“保教先进个人”"</f>
        <v>2022年获得庐阳区宿幼联盟“保教先进个人”</v>
      </c>
      <c r="AD17" t="str">
        <f>"无"</f>
        <v>无</v>
      </c>
      <c r="AE17" t="str">
        <f>"丈夫|王勇|淮南市文化和旅游局|职工|婆婆|杨悦玲|退休||公公|王秉普|退休|"</f>
        <v>丈夫|王勇|淮南市文化和旅游局|职工|婆婆|杨悦玲|退休||公公|王秉普|退休|</v>
      </c>
      <c r="AF17" s="2">
        <v>44985.56932870371</v>
      </c>
      <c r="AG17">
        <v>1</v>
      </c>
      <c r="AH17">
        <v>0</v>
      </c>
      <c r="AI17">
        <v>0</v>
      </c>
      <c r="AJ17">
        <f>""</f>
      </c>
      <c r="AN17">
        <v>0</v>
      </c>
    </row>
    <row r="18" spans="1:40" ht="18" customHeight="1">
      <c r="A18" t="str">
        <f>"141720230301185720340826"</f>
        <v>141720230301185720340826</v>
      </c>
      <c r="B18" t="s">
        <v>43</v>
      </c>
      <c r="C18" t="str">
        <f>"赫建梅"</f>
        <v>赫建梅</v>
      </c>
      <c r="D18" t="str">
        <f t="shared" si="0"/>
        <v>女</v>
      </c>
      <c r="E18" t="str">
        <f>"1991-11"</f>
        <v>1991-11</v>
      </c>
      <c r="F18" t="str">
        <f>"安徽蜀山区"</f>
        <v>安徽蜀山区</v>
      </c>
      <c r="G18" t="str">
        <f t="shared" si="3"/>
        <v>汉族</v>
      </c>
      <c r="H18" t="str">
        <f>"群众"</f>
        <v>群众</v>
      </c>
      <c r="I18" t="str">
        <f>"341622199111125326"</f>
        <v>341622199111125326</v>
      </c>
      <c r="J18" t="str">
        <f>"已婚"</f>
        <v>已婚</v>
      </c>
      <c r="K18" t="str">
        <f t="shared" si="4"/>
        <v>本科</v>
      </c>
      <c r="L18" t="str">
        <f>"学士"</f>
        <v>学士</v>
      </c>
      <c r="M18" t="str">
        <f t="shared" si="6"/>
        <v>学前教育</v>
      </c>
      <c r="N18" t="str">
        <f>"黄山学院"</f>
        <v>黄山学院</v>
      </c>
      <c r="O18" t="str">
        <f>"2014-6"</f>
        <v>2014-6</v>
      </c>
      <c r="P18" t="str">
        <f>"本科"</f>
        <v>本科</v>
      </c>
      <c r="Q18" t="str">
        <f>"学士"</f>
        <v>学士</v>
      </c>
      <c r="R18" t="str">
        <f>"学前教育"</f>
        <v>学前教育</v>
      </c>
      <c r="S18" t="str">
        <f>"黄山学院"</f>
        <v>黄山学院</v>
      </c>
      <c r="T18" t="str">
        <f>"2014-6"</f>
        <v>2014-6</v>
      </c>
      <c r="U18" t="str">
        <f>"学前教育"</f>
        <v>学前教育</v>
      </c>
      <c r="V18" t="str">
        <f>"8"</f>
        <v>8</v>
      </c>
      <c r="W18" t="str">
        <f>"一级教师"</f>
        <v>一级教师</v>
      </c>
      <c r="X18" t="str">
        <f t="shared" si="5"/>
        <v>是</v>
      </c>
      <c r="Y18" t="str">
        <f>"蒙城县第六幼儿园"</f>
        <v>蒙城县第六幼儿园</v>
      </c>
      <c r="Z18" t="str">
        <f>"18815691906"</f>
        <v>18815691906</v>
      </c>
      <c r="AA18" t="str">
        <f>"安徽蒙城"</f>
        <v>安徽蒙城</v>
      </c>
      <c r="AB18" s="1" t="str">
        <f>"2007.9-2010.6    蒙城一中   学生
2010.9-2014.6    黄山学院   学生
2014.11-2020.6   蒙城县第一幼儿园  教师
2020.9-至今     蒙城县第六幼儿园  教师
"</f>
        <v>2007.9-2010.6    蒙城一中   学生
2010.9-2014.6    黄山学院   学生
2014.11-2020.6   蒙城县第一幼儿园  教师
2020.9-至今     蒙城县第六幼儿园  教师
</v>
      </c>
      <c r="AC18" t="str">
        <f>"无"</f>
        <v>无</v>
      </c>
      <c r="AD18" t="str">
        <f>"看书"</f>
        <v>看书</v>
      </c>
      <c r="AE18" t="str">
        <f>"夫妻|李常青|国元保险|职员||||||||"</f>
        <v>夫妻|李常青|国元保险|职员||||||||</v>
      </c>
      <c r="AF18" s="2">
        <v>44987.42524305556</v>
      </c>
      <c r="AG18">
        <v>1</v>
      </c>
      <c r="AH18">
        <v>0</v>
      </c>
      <c r="AI18">
        <v>0</v>
      </c>
      <c r="AJ18">
        <f>""</f>
      </c>
      <c r="AN18">
        <v>0</v>
      </c>
    </row>
    <row r="19" spans="1:40" ht="18" customHeight="1">
      <c r="A19" t="str">
        <f>"141720230302122302340899"</f>
        <v>141720230302122302340899</v>
      </c>
      <c r="B19" t="s">
        <v>43</v>
      </c>
      <c r="C19" t="str">
        <f>"李小琴"</f>
        <v>李小琴</v>
      </c>
      <c r="D19" t="str">
        <f t="shared" si="0"/>
        <v>女</v>
      </c>
      <c r="E19" t="str">
        <f>"1983-11"</f>
        <v>1983-11</v>
      </c>
      <c r="F19" t="str">
        <f>"安徽省合肥市巢湖市"</f>
        <v>安徽省合肥市巢湖市</v>
      </c>
      <c r="G19" t="str">
        <f t="shared" si="3"/>
        <v>汉族</v>
      </c>
      <c r="H19" t="str">
        <f>"中共党员"</f>
        <v>中共党员</v>
      </c>
      <c r="I19" t="str">
        <f>"342601198311116840"</f>
        <v>342601198311116840</v>
      </c>
      <c r="J19" t="str">
        <f>"已婚"</f>
        <v>已婚</v>
      </c>
      <c r="K19" t="str">
        <f t="shared" si="4"/>
        <v>本科</v>
      </c>
      <c r="L19" t="str">
        <f>"无"</f>
        <v>无</v>
      </c>
      <c r="M19" t="str">
        <f t="shared" si="6"/>
        <v>学前教育</v>
      </c>
      <c r="N19" t="str">
        <f>"巢湖学院"</f>
        <v>巢湖学院</v>
      </c>
      <c r="O19" t="str">
        <f>"2022.7"</f>
        <v>2022.7</v>
      </c>
      <c r="P19" t="str">
        <f>"中专"</f>
        <v>中专</v>
      </c>
      <c r="Q19" t="str">
        <f>"无"</f>
        <v>无</v>
      </c>
      <c r="R19" t="str">
        <f>"幼师"</f>
        <v>幼师</v>
      </c>
      <c r="S19" t="str">
        <f>"和县幼儿师范学校"</f>
        <v>和县幼儿师范学校</v>
      </c>
      <c r="T19" t="str">
        <f>"2003.7"</f>
        <v>2003.7</v>
      </c>
      <c r="U19" t="str">
        <f>"有"</f>
        <v>有</v>
      </c>
      <c r="V19" t="str">
        <f>"20"</f>
        <v>20</v>
      </c>
      <c r="W19" t="str">
        <f>"无"</f>
        <v>无</v>
      </c>
      <c r="X19" t="str">
        <f t="shared" si="5"/>
        <v>是</v>
      </c>
      <c r="Y19" t="str">
        <f>"巢湖市亲亲幼儿园"</f>
        <v>巢湖市亲亲幼儿园</v>
      </c>
      <c r="Z19" t="str">
        <f>"13156500186"</f>
        <v>13156500186</v>
      </c>
      <c r="AA19" t="str">
        <f>"合肥市巢湖市凤凰山街道光明社区万锦国际小区"</f>
        <v>合肥市巢湖市凤凰山街道光明社区万锦国际小区</v>
      </c>
      <c r="AB19" s="1" t="str">
        <f>"2000.9-2003.7和县幼儿师范  学生
2003.7-2004.7广州市番禺区沙湾镇沙湾童星实验幼儿园教师
2004.7-至今巢湖市亲亲幼儿园 园长"</f>
        <v>2000.9-2003.7和县幼儿师范  学生
2003.7-2004.7广州市番禺区沙湾镇沙湾童星实验幼儿园教师
2004.7-至今巢湖市亲亲幼儿园 园长</v>
      </c>
      <c r="AC19" t="str">
        <f>"无"</f>
        <v>无</v>
      </c>
      <c r="AD19" t="str">
        <f>"我性格开朗、积极上进；具有良好的团队精神和人际关系，对待工作认真负责、勤恳耐劳，耐心细心，在工作中善于到激励他人的作用，同时善于并热爱与人沟通交流；敢于开拓创新，有着强烈的事业心与责任感，对人生和事业充满热情和憧憬。"</f>
        <v>我性格开朗、积极上进；具有良好的团队精神和人际关系，对待工作认真负责、勤恳耐劳，耐心细心，在工作中善于到激励他人的作用，同时善于并热爱与人沟通交流；敢于开拓创新，有着强烈的事业心与责任感，对人生和事业充满热情和憧憬。</v>
      </c>
      <c r="AE19" t="str">
        <f>"丈夫|戴胜|胡岗小学|教师||||||||"</f>
        <v>丈夫|戴胜|胡岗小学|教师||||||||</v>
      </c>
      <c r="AF19" s="2">
        <v>44987.65121527778</v>
      </c>
      <c r="AG19">
        <v>1</v>
      </c>
      <c r="AH19">
        <v>0</v>
      </c>
      <c r="AI19">
        <v>0</v>
      </c>
      <c r="AJ19">
        <f>""</f>
      </c>
      <c r="AN19">
        <v>0</v>
      </c>
    </row>
    <row r="20" spans="1:40" ht="18" customHeight="1">
      <c r="A20" t="str">
        <f>"141720230226090233340193"</f>
        <v>141720230226090233340193</v>
      </c>
      <c r="B20" t="s">
        <v>44</v>
      </c>
      <c r="C20" t="str">
        <f>"王兴辰"</f>
        <v>王兴辰</v>
      </c>
      <c r="D20" t="str">
        <f t="shared" si="0"/>
        <v>女</v>
      </c>
      <c r="E20" t="str">
        <f>"1992-02-01"</f>
        <v>1992-02-01</v>
      </c>
      <c r="F20" t="str">
        <f>"安徽淮南寿县"</f>
        <v>安徽淮南寿县</v>
      </c>
      <c r="G20" t="str">
        <f t="shared" si="3"/>
        <v>汉族</v>
      </c>
      <c r="H20" t="str">
        <f>"群众"</f>
        <v>群众</v>
      </c>
      <c r="I20" t="str">
        <f>"342422199202014322"</f>
        <v>342422199202014322</v>
      </c>
      <c r="J20" t="str">
        <f>"未婚"</f>
        <v>未婚</v>
      </c>
      <c r="K20" t="str">
        <f t="shared" si="4"/>
        <v>本科</v>
      </c>
      <c r="L20" t="str">
        <f>"无"</f>
        <v>无</v>
      </c>
      <c r="M20" t="str">
        <f t="shared" si="6"/>
        <v>学前教育</v>
      </c>
      <c r="N20" t="str">
        <f>"安徽师范大学"</f>
        <v>安徽师范大学</v>
      </c>
      <c r="O20" t="str">
        <f>"2020-07"</f>
        <v>2020-07</v>
      </c>
      <c r="P20" t="str">
        <f>"大专"</f>
        <v>大专</v>
      </c>
      <c r="Q20" t="str">
        <f>"无"</f>
        <v>无</v>
      </c>
      <c r="R20" t="str">
        <f aca="true" t="shared" si="7" ref="R20:R43">"学前教育"</f>
        <v>学前教育</v>
      </c>
      <c r="S20" t="str">
        <f>"合肥幼儿师范高等专科学校"</f>
        <v>合肥幼儿师范高等专科学校</v>
      </c>
      <c r="T20" t="str">
        <f>"2015-07"</f>
        <v>2015-07</v>
      </c>
      <c r="U20" t="str">
        <f>"二甲"</f>
        <v>二甲</v>
      </c>
      <c r="V20" t="str">
        <f>"2015年3月----2023年至今"</f>
        <v>2015年3月----2023年至今</v>
      </c>
      <c r="W20" t="str">
        <f>"二级教师"</f>
        <v>二级教师</v>
      </c>
      <c r="X20" t="str">
        <f t="shared" si="5"/>
        <v>是</v>
      </c>
      <c r="Y20" t="str">
        <f>"合肥宋都西湖花苑幼儿园"</f>
        <v>合肥宋都西湖花苑幼儿园</v>
      </c>
      <c r="Z20" t="str">
        <f>"15156002429"</f>
        <v>15156002429</v>
      </c>
      <c r="AA20" t="str">
        <f>"安徽省合肥市瑶海区水漾花园"</f>
        <v>安徽省合肥市瑶海区水漾花园</v>
      </c>
      <c r="AB20" s="1" t="str">
        <f>"2019.9-2012.6 安丰高中  学生
2012.9-2015.6  合肥幼儿师范高等专科学校  学生
2015.9-2023至今  合肥西湖花苑幼儿园   老师"</f>
        <v>2019.9-2012.6 安丰高中  学生
2012.9-2015.6  合肥幼儿师范高等专科学校  学生
2015.9-2023至今  合肥西湖花苑幼儿园   老师</v>
      </c>
      <c r="AC20" t="str">
        <f>"2020年获得蜀山区民间体育游戏二等奖"</f>
        <v>2020年获得蜀山区民间体育游戏二等奖</v>
      </c>
      <c r="AD20" t="str">
        <f>"画画、弹琴、养动植物"</f>
        <v>画画、弹琴、养动植物</v>
      </c>
      <c r="AE20" t="str">
        <f>"父女|王教敏|自由职业|司机|母女|张道梅|自由职业|务农|哥哥|王兴光|自由职业|销售"</f>
        <v>父女|王教敏|自由职业|司机|母女|张道梅|自由职业|务农|哥哥|王兴光|自由职业|销售</v>
      </c>
      <c r="AF20" s="2">
        <v>44987.38890046296</v>
      </c>
      <c r="AG20">
        <v>1</v>
      </c>
      <c r="AH20">
        <v>1</v>
      </c>
      <c r="AI20">
        <v>0</v>
      </c>
      <c r="AJ20" t="s">
        <v>61</v>
      </c>
      <c r="AK20" s="4">
        <v>60.9</v>
      </c>
      <c r="AL20" s="4">
        <v>63.6</v>
      </c>
      <c r="AM20" s="4">
        <v>62.25</v>
      </c>
      <c r="AN20">
        <v>0</v>
      </c>
    </row>
    <row r="21" spans="1:40" ht="18" customHeight="1">
      <c r="A21" t="str">
        <f>"141720230226091438340202"</f>
        <v>141720230226091438340202</v>
      </c>
      <c r="B21" t="s">
        <v>44</v>
      </c>
      <c r="C21" t="str">
        <f>"袁晓雅"</f>
        <v>袁晓雅</v>
      </c>
      <c r="D21" t="str">
        <f t="shared" si="0"/>
        <v>女</v>
      </c>
      <c r="E21" t="str">
        <f>"1998-02"</f>
        <v>1998-02</v>
      </c>
      <c r="F21" t="str">
        <f>"安徽省阜阳市颍泉区"</f>
        <v>安徽省阜阳市颍泉区</v>
      </c>
      <c r="G21" t="str">
        <f t="shared" si="3"/>
        <v>汉族</v>
      </c>
      <c r="H21" t="str">
        <f>"共青团员"</f>
        <v>共青团员</v>
      </c>
      <c r="I21" t="str">
        <f>"341204199802091423"</f>
        <v>341204199802091423</v>
      </c>
      <c r="J21" t="str">
        <f>"未婚"</f>
        <v>未婚</v>
      </c>
      <c r="K21" t="str">
        <f t="shared" si="4"/>
        <v>本科</v>
      </c>
      <c r="L21" t="str">
        <f>"无"</f>
        <v>无</v>
      </c>
      <c r="M21" t="str">
        <f>"音乐学"</f>
        <v>音乐学</v>
      </c>
      <c r="N21" t="str">
        <f>"蚌埠学院"</f>
        <v>蚌埠学院</v>
      </c>
      <c r="O21" t="str">
        <f>"2021年 7月"</f>
        <v>2021年 7月</v>
      </c>
      <c r="P21" t="str">
        <f>"专科"</f>
        <v>专科</v>
      </c>
      <c r="Q21" t="str">
        <f>"无"</f>
        <v>无</v>
      </c>
      <c r="R21" t="str">
        <f t="shared" si="7"/>
        <v>学前教育</v>
      </c>
      <c r="S21" t="str">
        <f>"阜阳幼儿师范高等专科学校"</f>
        <v>阜阳幼儿师范高等专科学校</v>
      </c>
      <c r="T21" t="str">
        <f>"2017年6月"</f>
        <v>2017年6月</v>
      </c>
      <c r="U21" t="str">
        <f>"幼儿教师资格证/小学音乐教师资格证"</f>
        <v>幼儿教师资格证/小学音乐教师资格证</v>
      </c>
      <c r="V21" t="str">
        <f>"3年"</f>
        <v>3年</v>
      </c>
      <c r="W21" t="str">
        <f>"无"</f>
        <v>无</v>
      </c>
      <c r="X21" t="str">
        <f t="shared" si="5"/>
        <v>是</v>
      </c>
      <c r="Y21" t="str">
        <f>"待业"</f>
        <v>待业</v>
      </c>
      <c r="Z21" t="str">
        <f>"18298187752"</f>
        <v>18298187752</v>
      </c>
      <c r="AA21" t="str">
        <f>"合肥市瑶海区胜利路街道金孔路合铁家园"</f>
        <v>合肥市瑶海区胜利路街道金孔路合铁家园</v>
      </c>
      <c r="AB21" s="1" t="str">
        <f>"2014.9-2017.6 阜阳幼儿师范高等专科学校 学前教育专业 学生
2016.3-2018.7 蚌埠学院 学前教育专业 学生
2019.3-2021.7 蚌埠学院 音乐学专业 学生
2021.10-2024.10 安徽国际商务职业学院 国际商务专业 学生
2017.3-2018.7 阜阳幼儿师范高等专科学校附属幼儿园 教师
2018.9-2020.7 锦华名郡幼儿园 教师
2020.9-2023.1 教培中心 教师"</f>
        <v>2014.9-2017.6 阜阳幼儿师范高等专科学校 学前教育专业 学生
2016.3-2018.7 蚌埠学院 学前教育专业 学生
2019.3-2021.7 蚌埠学院 音乐学专业 学生
2021.10-2024.10 安徽国际商务职业学院 国际商务专业 学生
2017.3-2018.7 阜阳幼儿师范高等专科学校附属幼儿园 教师
2018.9-2020.7 锦华名郡幼儿园 教师
2020.9-2023.1 教培中心 教师</v>
      </c>
      <c r="AC21" t="str">
        <f>"无"</f>
        <v>无</v>
      </c>
      <c r="AD21" t="str">
        <f>"听音乐 唱歌 钢琴等等"</f>
        <v>听音乐 唱歌 钢琴等等</v>
      </c>
      <c r="AE21" t="str">
        <f>"父女|袁申|个体|老板|母女|火克英|个体|老板娘|姐弟|袁贺雨||学生"</f>
        <v>父女|袁申|个体|老板|母女|火克英|个体|老板娘|姐弟|袁贺雨||学生</v>
      </c>
      <c r="AF21" s="2">
        <v>44984.450625</v>
      </c>
      <c r="AG21">
        <v>1</v>
      </c>
      <c r="AH21">
        <v>1</v>
      </c>
      <c r="AI21">
        <v>0</v>
      </c>
      <c r="AJ21" t="s">
        <v>62</v>
      </c>
      <c r="AK21" s="4">
        <v>69.7</v>
      </c>
      <c r="AL21" s="4">
        <v>63.5</v>
      </c>
      <c r="AM21" s="4">
        <v>66.6</v>
      </c>
      <c r="AN21">
        <v>0</v>
      </c>
    </row>
    <row r="22" spans="1:40" ht="18" customHeight="1">
      <c r="A22" t="str">
        <f>"141720230226091635340204"</f>
        <v>141720230226091635340204</v>
      </c>
      <c r="B22" t="s">
        <v>44</v>
      </c>
      <c r="C22" t="str">
        <f>"李子洁"</f>
        <v>李子洁</v>
      </c>
      <c r="D22" t="str">
        <f t="shared" si="0"/>
        <v>女</v>
      </c>
      <c r="E22" t="str">
        <f>"1998-11"</f>
        <v>1998-11</v>
      </c>
      <c r="F22" t="str">
        <f>"安徽省安庆市宿松县"</f>
        <v>安徽省安庆市宿松县</v>
      </c>
      <c r="G22" t="str">
        <f t="shared" si="3"/>
        <v>汉族</v>
      </c>
      <c r="H22" t="str">
        <f>"共青团员"</f>
        <v>共青团员</v>
      </c>
      <c r="I22" t="str">
        <f>"340826199811090369"</f>
        <v>340826199811090369</v>
      </c>
      <c r="J22" t="str">
        <f>"未婚"</f>
        <v>未婚</v>
      </c>
      <c r="K22" t="str">
        <f t="shared" si="4"/>
        <v>本科</v>
      </c>
      <c r="L22" t="str">
        <f>"学士学位"</f>
        <v>学士学位</v>
      </c>
      <c r="M22" t="str">
        <f aca="true" t="shared" si="8" ref="M22:M27">"学前教育"</f>
        <v>学前教育</v>
      </c>
      <c r="N22" t="str">
        <f>"安徽师范大学"</f>
        <v>安徽师范大学</v>
      </c>
      <c r="O22" t="str">
        <f>"2023-7"</f>
        <v>2023-7</v>
      </c>
      <c r="P22" t="str">
        <f>"本科"</f>
        <v>本科</v>
      </c>
      <c r="Q22" t="str">
        <f>"学士学位"</f>
        <v>学士学位</v>
      </c>
      <c r="R22" t="str">
        <f t="shared" si="7"/>
        <v>学前教育</v>
      </c>
      <c r="S22" t="str">
        <f>"安徽师范大学"</f>
        <v>安徽师范大学</v>
      </c>
      <c r="T22" t="str">
        <f>"2023-7"</f>
        <v>2023-7</v>
      </c>
      <c r="U22" t="str">
        <f>"幼儿园教师资格证书"</f>
        <v>幼儿园教师资格证书</v>
      </c>
      <c r="V22" t="str">
        <f>"无"</f>
        <v>无</v>
      </c>
      <c r="W22" t="str">
        <f>"无"</f>
        <v>无</v>
      </c>
      <c r="X22" t="str">
        <f t="shared" si="5"/>
        <v>是</v>
      </c>
      <c r="Y22" t="str">
        <f>"无"</f>
        <v>无</v>
      </c>
      <c r="Z22" t="str">
        <f>"15609666136"</f>
        <v>15609666136</v>
      </c>
      <c r="AA22" t="str">
        <f>"安徽省安庆市宿松县九成监狱管理分局"</f>
        <v>安徽省安庆市宿松县九成监狱管理分局</v>
      </c>
      <c r="AB22" s="1" t="str">
        <f>"2014.9-2017.6 宿松二中 学生
2017.8-2018.6 高级金安中学 学生
2018.9-2021.6 合肥幼儿师范高等专科学校 学生
2021.9-至今 安徽师范大学 学生"</f>
        <v>2014.9-2017.6 宿松二中 学生
2017.8-2018.6 高级金安中学 学生
2018.9-2021.6 合肥幼儿师范高等专科学校 学生
2021.9-至今 安徽师范大学 学生</v>
      </c>
      <c r="AC22" s="1" t="str">
        <f>"在校期间组织“大学生志愿服务比赛”荣获一等奖
参加“大学生讲思政课”荣获一等奖
参与心理活动“心生生活”荣获一等
组织团日活动曾获“最佳团日活动”和“创意团日活动”班级称号
在校评为“优秀团干部”"</f>
        <v>在校期间组织“大学生志愿服务比赛”荣获一等奖
参加“大学生讲思政课”荣获一等奖
参与心理活动“心生生活”荣获一等
组织团日活动曾获“最佳团日活动”和“创意团日活动”班级称号
在校评为“优秀团干部”</v>
      </c>
      <c r="AD22" t="str">
        <f>"钢琴、吉他、唱歌、绘画、羽毛球"</f>
        <v>钢琴、吉他、唱歌、绘画、羽毛球</v>
      </c>
      <c r="AE22" t="str">
        <f>"父女|李瑞典|安徽省九成监狱管理分局三十监区|职工|母女|林春霞|个体经营|个体业主||||"</f>
        <v>父女|李瑞典|安徽省九成监狱管理分局三十监区|职工|母女|林春霞|个体经营|个体业主||||</v>
      </c>
      <c r="AF22" s="2">
        <v>44984.40767361111</v>
      </c>
      <c r="AG22">
        <v>1</v>
      </c>
      <c r="AH22">
        <v>1</v>
      </c>
      <c r="AI22">
        <v>0</v>
      </c>
      <c r="AJ22" t="s">
        <v>63</v>
      </c>
      <c r="AK22" s="4">
        <v>74.5</v>
      </c>
      <c r="AL22" s="4">
        <v>73.5</v>
      </c>
      <c r="AM22" s="4">
        <v>74</v>
      </c>
      <c r="AN22">
        <v>0</v>
      </c>
    </row>
    <row r="23" spans="1:40" ht="18" customHeight="1">
      <c r="A23" t="str">
        <f>"141720230226092137340207"</f>
        <v>141720230226092137340207</v>
      </c>
      <c r="B23" t="s">
        <v>44</v>
      </c>
      <c r="C23" t="str">
        <f>"费正阳"</f>
        <v>费正阳</v>
      </c>
      <c r="D23" t="str">
        <f>"男"</f>
        <v>男</v>
      </c>
      <c r="E23" t="str">
        <f>"19990201"</f>
        <v>19990201</v>
      </c>
      <c r="F23" t="str">
        <f>"安徽瑶海区"</f>
        <v>安徽瑶海区</v>
      </c>
      <c r="G23" t="str">
        <f t="shared" si="3"/>
        <v>汉族</v>
      </c>
      <c r="H23" t="str">
        <f>"中共党员"</f>
        <v>中共党员</v>
      </c>
      <c r="I23" t="str">
        <f>"340123199902013310"</f>
        <v>340123199902013310</v>
      </c>
      <c r="J23" t="str">
        <f>"未婚"</f>
        <v>未婚</v>
      </c>
      <c r="K23" t="str">
        <f t="shared" si="4"/>
        <v>本科</v>
      </c>
      <c r="L23" t="str">
        <f>"学士"</f>
        <v>学士</v>
      </c>
      <c r="M23" t="str">
        <f t="shared" si="8"/>
        <v>学前教育</v>
      </c>
      <c r="N23" t="str">
        <f>"淮北师范大学信息学院"</f>
        <v>淮北师范大学信息学院</v>
      </c>
      <c r="O23" t="str">
        <f>"202206"</f>
        <v>202206</v>
      </c>
      <c r="P23" t="str">
        <f>"本科"</f>
        <v>本科</v>
      </c>
      <c r="Q23" t="str">
        <f>"学士"</f>
        <v>学士</v>
      </c>
      <c r="R23" t="str">
        <f t="shared" si="7"/>
        <v>学前教育</v>
      </c>
      <c r="S23" t="str">
        <f>"淮北师范大学信息学院"</f>
        <v>淮北师范大学信息学院</v>
      </c>
      <c r="T23" t="str">
        <f>"202206"</f>
        <v>202206</v>
      </c>
      <c r="U23" t="str">
        <f>"幼儿教师资格证"</f>
        <v>幼儿教师资格证</v>
      </c>
      <c r="V23" t="str">
        <f>"小学语文教学一年"</f>
        <v>小学语文教学一年</v>
      </c>
      <c r="W23" t="str">
        <f>"无"</f>
        <v>无</v>
      </c>
      <c r="X23" t="str">
        <f t="shared" si="5"/>
        <v>是</v>
      </c>
      <c r="Y23" t="str">
        <f>"合肥市少儿艺术学校站塘校区"</f>
        <v>合肥市少儿艺术学校站塘校区</v>
      </c>
      <c r="Z23" t="str">
        <f>"18214746908"</f>
        <v>18214746908</v>
      </c>
      <c r="AA23" t="str">
        <f>"合肥市瑶海区龙岗开发区襄河家园2期1栋2801"</f>
        <v>合肥市瑶海区龙岗开发区襄河家园2期1栋2801</v>
      </c>
      <c r="AB23" s="1" t="str">
        <f>"2015.9-2018.6肥东锦弘中学学生
2018.9-2022.6淮北师范大学信息学院学生
2022.9-至今 合肥市少儿艺术学校站塘校区教师"</f>
        <v>2015.9-2018.6肥东锦弘中学学生
2018.9-2022.6淮北师范大学信息学院学生
2022.9-至今 合肥市少儿艺术学校站塘校区教师</v>
      </c>
      <c r="AC23" t="str">
        <f>"大学期间获得优秀学员，优秀学生干部，学生干部社会工作优秀单项奖，优秀共青团员"</f>
        <v>大学期间获得优秀学员，优秀学生干部，学生干部社会工作优秀单项奖，优秀共青团员</v>
      </c>
      <c r="AD23" t="str">
        <f>"特长无，爱好羽毛球"</f>
        <v>特长无，爱好羽毛球</v>
      </c>
      <c r="AE23" t="str">
        <f>"母亲|张宇勤|百味佳食品厂|员工|父亲|费勤兵|百味佳食品厂|员工||||"</f>
        <v>母亲|张宇勤|百味佳食品厂|员工|父亲|费勤兵|百味佳食品厂|员工||||</v>
      </c>
      <c r="AF23" s="2">
        <v>44984.40589120371</v>
      </c>
      <c r="AG23">
        <v>1</v>
      </c>
      <c r="AH23">
        <v>1</v>
      </c>
      <c r="AI23">
        <v>0</v>
      </c>
      <c r="AJ23" t="s">
        <v>64</v>
      </c>
      <c r="AK23" s="4">
        <v>76.3</v>
      </c>
      <c r="AL23" s="4">
        <v>74.5</v>
      </c>
      <c r="AM23" s="4">
        <v>75.4</v>
      </c>
      <c r="AN23">
        <v>0</v>
      </c>
    </row>
    <row r="24" spans="1:40" ht="18" customHeight="1">
      <c r="A24" t="str">
        <f>"141720230226092249340209"</f>
        <v>141720230226092249340209</v>
      </c>
      <c r="B24" t="s">
        <v>44</v>
      </c>
      <c r="C24" t="str">
        <f>"郑玉玉"</f>
        <v>郑玉玉</v>
      </c>
      <c r="D24" t="str">
        <f aca="true" t="shared" si="9" ref="D24:D55">"女"</f>
        <v>女</v>
      </c>
      <c r="E24" t="str">
        <f>"1998-08"</f>
        <v>1998-08</v>
      </c>
      <c r="F24" t="str">
        <f>"安徽颍上"</f>
        <v>安徽颍上</v>
      </c>
      <c r="G24" t="str">
        <f t="shared" si="3"/>
        <v>汉族</v>
      </c>
      <c r="H24" t="str">
        <f>"中共党员"</f>
        <v>中共党员</v>
      </c>
      <c r="I24" t="str">
        <f>"341226199808163721"</f>
        <v>341226199808163721</v>
      </c>
      <c r="J24" t="str">
        <f>"未婚"</f>
        <v>未婚</v>
      </c>
      <c r="K24" t="str">
        <f t="shared" si="4"/>
        <v>本科</v>
      </c>
      <c r="L24" t="str">
        <f>"教育学学位"</f>
        <v>教育学学位</v>
      </c>
      <c r="M24" t="str">
        <f t="shared" si="8"/>
        <v>学前教育</v>
      </c>
      <c r="N24" t="str">
        <f>"淮北理工学院"</f>
        <v>淮北理工学院</v>
      </c>
      <c r="O24" t="str">
        <f>"2023年6月"</f>
        <v>2023年6月</v>
      </c>
      <c r="P24" t="str">
        <f>"本科"</f>
        <v>本科</v>
      </c>
      <c r="Q24" t="str">
        <f>"教育学学位"</f>
        <v>教育学学位</v>
      </c>
      <c r="R24" t="str">
        <f t="shared" si="7"/>
        <v>学前教育</v>
      </c>
      <c r="S24" t="str">
        <f>"淮北理工学院"</f>
        <v>淮北理工学院</v>
      </c>
      <c r="T24" t="str">
        <f>"2023.6"</f>
        <v>2023.6</v>
      </c>
      <c r="U24" t="str">
        <f>"幼儿园教师资格证"</f>
        <v>幼儿园教师资格证</v>
      </c>
      <c r="V24" t="str">
        <f>"无"</f>
        <v>无</v>
      </c>
      <c r="W24" t="str">
        <f>"无"</f>
        <v>无</v>
      </c>
      <c r="X24" t="str">
        <f t="shared" si="5"/>
        <v>是</v>
      </c>
      <c r="Y24" t="str">
        <f>"淮北理工学院"</f>
        <v>淮北理工学院</v>
      </c>
      <c r="Z24" t="str">
        <f>"13093406288"</f>
        <v>13093406288</v>
      </c>
      <c r="AA24" t="str">
        <f>"安徽省合肥市巢湖市黄麓镇"</f>
        <v>安徽省合肥市巢湖市黄麓镇</v>
      </c>
      <c r="AB24" s="1" t="str">
        <f>"2015.9-2018.6颍上第二中学
2018.9-2021.6合肥滨湖职业技术学院
2021.9-至今淮北理工学院"</f>
        <v>2015.9-2018.6颍上第二中学
2018.9-2021.6合肥滨湖职业技术学院
2021.9-至今淮北理工学院</v>
      </c>
      <c r="AC24" t="str">
        <f>"2021-2022学年荣获淮北理工学院优秀学生奖学金"</f>
        <v>2021-2022学年荣获淮北理工学院优秀学生奖学金</v>
      </c>
      <c r="AD24" s="1" t="str">
        <f>"手工 画画 钢琴 熟悉电脑应用word Excel ppt等
长跑 打羽毛球"</f>
        <v>手工 画画 钢琴 熟悉电脑应用word Excel ppt等
长跑 打羽毛球</v>
      </c>
      <c r="AE24" t="str">
        <f>"父女|郑兰根|巢湖市锦林新型建材有限公司|财务|母女|史学梅|务农|无|姐弟|郑田成|合肥通用职业技术学院|学生"</f>
        <v>父女|郑兰根|巢湖市锦林新型建材有限公司|财务|母女|史学梅|务农|无|姐弟|郑田成|合肥通用职业技术学院|学生</v>
      </c>
      <c r="AF24" s="2">
        <v>44985.47880787037</v>
      </c>
      <c r="AG24">
        <v>1</v>
      </c>
      <c r="AH24">
        <v>1</v>
      </c>
      <c r="AI24">
        <v>0</v>
      </c>
      <c r="AJ24" t="s">
        <v>65</v>
      </c>
      <c r="AK24" s="4">
        <v>76.6</v>
      </c>
      <c r="AL24" s="4">
        <v>60.9</v>
      </c>
      <c r="AM24" s="4">
        <v>68.75</v>
      </c>
      <c r="AN24">
        <v>0</v>
      </c>
    </row>
    <row r="25" spans="1:40" ht="18" customHeight="1">
      <c r="A25" t="str">
        <f>"141720230226093510340213"</f>
        <v>141720230226093510340213</v>
      </c>
      <c r="B25" t="s">
        <v>44</v>
      </c>
      <c r="C25" t="str">
        <f>"李莎莎"</f>
        <v>李莎莎</v>
      </c>
      <c r="D25" t="str">
        <f t="shared" si="9"/>
        <v>女</v>
      </c>
      <c r="E25" t="str">
        <f>"1991-06"</f>
        <v>1991-06</v>
      </c>
      <c r="F25" t="str">
        <f>"安徽瑶海区"</f>
        <v>安徽瑶海区</v>
      </c>
      <c r="G25" t="str">
        <f t="shared" si="3"/>
        <v>汉族</v>
      </c>
      <c r="H25" t="str">
        <f>"共青团员"</f>
        <v>共青团员</v>
      </c>
      <c r="I25" t="str">
        <f>"342224199106061227"</f>
        <v>342224199106061227</v>
      </c>
      <c r="J25" t="str">
        <f>"已婚"</f>
        <v>已婚</v>
      </c>
      <c r="K25" t="str">
        <f t="shared" si="4"/>
        <v>本科</v>
      </c>
      <c r="L25" t="str">
        <f>"无"</f>
        <v>无</v>
      </c>
      <c r="M25" t="str">
        <f t="shared" si="8"/>
        <v>学前教育</v>
      </c>
      <c r="N25" t="str">
        <f>"福建师范大学"</f>
        <v>福建师范大学</v>
      </c>
      <c r="O25" t="str">
        <f>"2016-07"</f>
        <v>2016-07</v>
      </c>
      <c r="P25" t="str">
        <f>"大专"</f>
        <v>大专</v>
      </c>
      <c r="Q25" t="str">
        <f>"无 "</f>
        <v>无 </v>
      </c>
      <c r="R25" t="str">
        <f t="shared" si="7"/>
        <v>学前教育</v>
      </c>
      <c r="S25" t="str">
        <f>"马鞍山师范高等专科学校"</f>
        <v>马鞍山师范高等专科学校</v>
      </c>
      <c r="T25" t="str">
        <f>"2013-06"</f>
        <v>2013-06</v>
      </c>
      <c r="U25" t="str">
        <f>"幼儿园教师资格证 "</f>
        <v>幼儿园教师资格证 </v>
      </c>
      <c r="V25" t="str">
        <f>"9"</f>
        <v>9</v>
      </c>
      <c r="W25" t="str">
        <f>"二级教师"</f>
        <v>二级教师</v>
      </c>
      <c r="X25" t="str">
        <f t="shared" si="5"/>
        <v>是</v>
      </c>
      <c r="Y25" t="str">
        <f>"无"</f>
        <v>无</v>
      </c>
      <c r="Z25" t="str">
        <f>"13605160142"</f>
        <v>13605160142</v>
      </c>
      <c r="AA25" t="str">
        <f>"安徽瑶海阳光棕榈园小区"</f>
        <v>安徽瑶海阳光棕榈园小区</v>
      </c>
      <c r="AB25" s="1" t="str">
        <f>"2007.9-2010.7灵璧县渔沟中学 学生
2010.6-2013.6马鞍山师范高等专科学校 学生
2014.3-2016.7福建师范大学 学生非全日制
2013.8-2019.7南京石化二公司幼儿园 教师
2019.10-2022.8包河万振阳光伙伴幼儿园 教师
"</f>
        <v>2007.9-2010.7灵璧县渔沟中学 学生
2010.6-2013.6马鞍山师范高等专科学校 学生
2014.3-2016.7福建师范大学 学生非全日制
2013.8-2019.7南京石化二公司幼儿园 教师
2019.10-2022.8包河万振阳光伙伴幼儿园 教师
</v>
      </c>
      <c r="AC25" t="str">
        <f>"2017区内读书征文二等奖，2018年度园内先进个人奖、优秀班集体，2022年获得家长锦旗"</f>
        <v>2017区内读书征文二等奖，2018年度园内先进个人奖、优秀班集体，2022年获得家长锦旗</v>
      </c>
      <c r="AD25" t="str">
        <f>"读书，游戏"</f>
        <v>读书，游戏</v>
      </c>
      <c r="AE25" t="str">
        <f>"夫妻|胡胜华|天合富家|销售经理|母子|胡新宝|幼儿园|学生||||"</f>
        <v>夫妻|胡胜华|天合富家|销售经理|母子|胡新宝|幼儿园|学生||||</v>
      </c>
      <c r="AF25" s="2">
        <v>44984.49456018519</v>
      </c>
      <c r="AG25">
        <v>1</v>
      </c>
      <c r="AH25">
        <v>1</v>
      </c>
      <c r="AI25">
        <v>0</v>
      </c>
      <c r="AJ25" t="s">
        <v>66</v>
      </c>
      <c r="AK25" s="4">
        <v>68.8</v>
      </c>
      <c r="AL25" s="4">
        <v>71.1</v>
      </c>
      <c r="AM25" s="4">
        <v>69.94999999999999</v>
      </c>
      <c r="AN25">
        <v>0</v>
      </c>
    </row>
    <row r="26" spans="1:40" ht="18" customHeight="1">
      <c r="A26" t="str">
        <f>"141720230226095926340226"</f>
        <v>141720230226095926340226</v>
      </c>
      <c r="B26" t="s">
        <v>44</v>
      </c>
      <c r="C26" t="str">
        <f>"刘莹"</f>
        <v>刘莹</v>
      </c>
      <c r="D26" t="str">
        <f t="shared" si="9"/>
        <v>女</v>
      </c>
      <c r="E26" t="str">
        <f>"2001-8"</f>
        <v>2001-8</v>
      </c>
      <c r="F26" t="str">
        <f>"安徽六安"</f>
        <v>安徽六安</v>
      </c>
      <c r="G26" t="str">
        <f t="shared" si="3"/>
        <v>汉族</v>
      </c>
      <c r="H26" t="str">
        <f>"共青团员"</f>
        <v>共青团员</v>
      </c>
      <c r="I26" t="str">
        <f>"342401200108217645"</f>
        <v>342401200108217645</v>
      </c>
      <c r="J26" t="str">
        <f aca="true" t="shared" si="10" ref="J26:J42">"未婚"</f>
        <v>未婚</v>
      </c>
      <c r="K26" t="str">
        <f>"大专"</f>
        <v>大专</v>
      </c>
      <c r="L26" t="str">
        <f>"无"</f>
        <v>无</v>
      </c>
      <c r="M26" t="str">
        <f t="shared" si="8"/>
        <v>学前教育</v>
      </c>
      <c r="N26" t="str">
        <f>"合肥幼儿师范高等专科学校"</f>
        <v>合肥幼儿师范高等专科学校</v>
      </c>
      <c r="O26" t="str">
        <f>"2022年6月"</f>
        <v>2022年6月</v>
      </c>
      <c r="P26" t="str">
        <f>"大专"</f>
        <v>大专</v>
      </c>
      <c r="Q26" t="str">
        <f>"无"</f>
        <v>无</v>
      </c>
      <c r="R26" t="str">
        <f t="shared" si="7"/>
        <v>学前教育</v>
      </c>
      <c r="S26" t="str">
        <f>"合肥幼儿师范高等专科学校"</f>
        <v>合肥幼儿师范高等专科学校</v>
      </c>
      <c r="T26" t="str">
        <f>"2022年6月"</f>
        <v>2022年6月</v>
      </c>
      <c r="U26" t="str">
        <f>"幼儿园教师资格证，普通话证书二甲，舞蹈教师资格证1-3级，计算机一级证书"</f>
        <v>幼儿园教师资格证，普通话证书二甲，舞蹈教师资格证1-3级，计算机一级证书</v>
      </c>
      <c r="V26" t="str">
        <f>"无"</f>
        <v>无</v>
      </c>
      <c r="W26" t="str">
        <f>"无"</f>
        <v>无</v>
      </c>
      <c r="X26" t="str">
        <f t="shared" si="5"/>
        <v>是</v>
      </c>
      <c r="Y26" t="str">
        <f>"无"</f>
        <v>无</v>
      </c>
      <c r="Z26" t="str">
        <f>"18297463390"</f>
        <v>18297463390</v>
      </c>
      <c r="AA26" t="str">
        <f>"安徽省六安市金安区孙岗镇花水堰村和平组"</f>
        <v>安徽省六安市金安区孙岗镇花水堰村和平组</v>
      </c>
      <c r="AB26" s="1" t="str">
        <f>"2016.9-2019.6六安市毛坦厂中学学生
2019.9-2022.6合肥幼儿师范高等专科学校学生
大一期间，参加合肥工业大学附属幼儿园一周见实习
大三期间，在西园新村幼儿园实习一个月"</f>
        <v>2016.9-2019.6六安市毛坦厂中学学生
2019.9-2022.6合肥幼儿师范高等专科学校学生
大一期间，参加合肥工业大学附属幼儿园一周见实习
大三期间，在西园新村幼儿园实习一个月</v>
      </c>
      <c r="AC26" t="str">
        <f>"无"</f>
        <v>无</v>
      </c>
      <c r="AD26" t="str">
        <f>"唱歌"</f>
        <v>唱歌</v>
      </c>
      <c r="AE26" t="str">
        <f>"父女|刘模稳|务农|无|母女|袁红梅|务农|无|姐妹|刘圆|六安市孙岗高级中学|学生"</f>
        <v>父女|刘模稳|务农|无|母女|袁红梅|务农|无|姐妹|刘圆|六安市孙岗高级中学|学生</v>
      </c>
      <c r="AF26" s="2">
        <v>44985.48944444444</v>
      </c>
      <c r="AG26">
        <v>1</v>
      </c>
      <c r="AH26">
        <v>1</v>
      </c>
      <c r="AI26">
        <v>0</v>
      </c>
      <c r="AJ26" t="s">
        <v>67</v>
      </c>
      <c r="AK26" s="4" t="s">
        <v>264</v>
      </c>
      <c r="AL26" s="4" t="s">
        <v>264</v>
      </c>
      <c r="AM26" s="4" t="s">
        <v>264</v>
      </c>
      <c r="AN26">
        <v>0</v>
      </c>
    </row>
    <row r="27" spans="1:40" ht="18" customHeight="1">
      <c r="A27" t="str">
        <f>"141720230226101935340231"</f>
        <v>141720230226101935340231</v>
      </c>
      <c r="B27" t="s">
        <v>44</v>
      </c>
      <c r="C27" t="str">
        <f>"左欣茹"</f>
        <v>左欣茹</v>
      </c>
      <c r="D27" t="str">
        <f t="shared" si="9"/>
        <v>女</v>
      </c>
      <c r="E27" t="str">
        <f>"2002-3"</f>
        <v>2002-3</v>
      </c>
      <c r="F27" t="str">
        <f>"安徽淮南"</f>
        <v>安徽淮南</v>
      </c>
      <c r="G27" t="str">
        <f t="shared" si="3"/>
        <v>汉族</v>
      </c>
      <c r="H27" t="str">
        <f>"共青团员"</f>
        <v>共青团员</v>
      </c>
      <c r="I27" t="str">
        <f>"340404200203200224"</f>
        <v>340404200203200224</v>
      </c>
      <c r="J27" t="str">
        <f t="shared" si="10"/>
        <v>未婚</v>
      </c>
      <c r="K27" t="str">
        <f>"大专"</f>
        <v>大专</v>
      </c>
      <c r="L27" t="str">
        <f>"专科"</f>
        <v>专科</v>
      </c>
      <c r="M27" t="str">
        <f t="shared" si="8"/>
        <v>学前教育</v>
      </c>
      <c r="N27" t="str">
        <f>"六安专业技术学院"</f>
        <v>六安专业技术学院</v>
      </c>
      <c r="O27" t="str">
        <f>"2023.6"</f>
        <v>2023.6</v>
      </c>
      <c r="P27" t="str">
        <f>"大专"</f>
        <v>大专</v>
      </c>
      <c r="Q27" t="str">
        <f>"专科"</f>
        <v>专科</v>
      </c>
      <c r="R27" t="str">
        <f t="shared" si="7"/>
        <v>学前教育</v>
      </c>
      <c r="S27" t="str">
        <f>"六安专业技术学院"</f>
        <v>六安专业技术学院</v>
      </c>
      <c r="T27" t="str">
        <f>"2023.6"</f>
        <v>2023.6</v>
      </c>
      <c r="U27" t="str">
        <f>"幼儿教师资格证"</f>
        <v>幼儿教师资格证</v>
      </c>
      <c r="V27" t="str">
        <f>"一年"</f>
        <v>一年</v>
      </c>
      <c r="W27" t="str">
        <f>"无"</f>
        <v>无</v>
      </c>
      <c r="X27" t="str">
        <f t="shared" si="5"/>
        <v>是</v>
      </c>
      <c r="Y27" t="str">
        <f>"肥西县华南城幼儿园"</f>
        <v>肥西县华南城幼儿园</v>
      </c>
      <c r="Z27" t="str">
        <f>"18456451032"</f>
        <v>18456451032</v>
      </c>
      <c r="AA27" t="str">
        <f>"安徽省合肥市紫荆名都馨园1-2404"</f>
        <v>安徽省合肥市紫荆名都馨园1-2404</v>
      </c>
      <c r="AB27" t="str">
        <f>"2017.9-2020.6淮南经济职业技术学院；2020.10-2023.6六安专业技术学院；2022.8-至今肥西县华南城幼儿园"</f>
        <v>2017.9-2020.6淮南经济职业技术学院；2020.10-2023.6六安专业技术学院；2022.8-至今肥西县华南城幼儿园</v>
      </c>
      <c r="AC27" t="str">
        <f>"大学期间荣誉优秀学干；国家励志奖学金；入党积极分子"</f>
        <v>大学期间荣誉优秀学干；国家励志奖学金；入党积极分子</v>
      </c>
      <c r="AD27" t="str">
        <f>"美术，钢琴"</f>
        <v>美术，钢琴</v>
      </c>
      <c r="AE27" t="str">
        <f>"父亲|左伦|无|无|母亲|姜允妹|无|无|弟弟|左廷浩|谢家集第六中学|学生"</f>
        <v>父亲|左伦|无|无|母亲|姜允妹|无|无|弟弟|左廷浩|谢家集第六中学|学生</v>
      </c>
      <c r="AF27" s="2">
        <v>44984.42061342593</v>
      </c>
      <c r="AG27">
        <v>1</v>
      </c>
      <c r="AH27">
        <v>1</v>
      </c>
      <c r="AI27">
        <v>0</v>
      </c>
      <c r="AJ27" t="s">
        <v>68</v>
      </c>
      <c r="AK27" s="4">
        <v>61</v>
      </c>
      <c r="AL27" s="4">
        <v>67.3</v>
      </c>
      <c r="AM27" s="4">
        <v>64.15</v>
      </c>
      <c r="AN27">
        <v>0</v>
      </c>
    </row>
    <row r="28" spans="1:40" ht="18" customHeight="1">
      <c r="A28" t="str">
        <f>"141720230226102124340232"</f>
        <v>141720230226102124340232</v>
      </c>
      <c r="B28" t="s">
        <v>44</v>
      </c>
      <c r="C28" t="str">
        <f>"彭晶晶"</f>
        <v>彭晶晶</v>
      </c>
      <c r="D28" t="str">
        <f t="shared" si="9"/>
        <v>女</v>
      </c>
      <c r="E28" t="str">
        <f>"1999-12-9"</f>
        <v>1999-12-9</v>
      </c>
      <c r="F28" t="str">
        <f>"安徽省六安市"</f>
        <v>安徽省六安市</v>
      </c>
      <c r="G28" t="str">
        <f t="shared" si="3"/>
        <v>汉族</v>
      </c>
      <c r="H28" t="str">
        <f>"群众"</f>
        <v>群众</v>
      </c>
      <c r="I28" t="str">
        <f>"342425199912098224"</f>
        <v>342425199912098224</v>
      </c>
      <c r="J28" t="str">
        <f t="shared" si="10"/>
        <v>未婚</v>
      </c>
      <c r="K28" t="str">
        <f>"大学专科"</f>
        <v>大学专科</v>
      </c>
      <c r="L28" t="str">
        <f>"无"</f>
        <v>无</v>
      </c>
      <c r="M28" t="str">
        <f>"学前教育大专"</f>
        <v>学前教育大专</v>
      </c>
      <c r="N28" t="str">
        <f>"合肥幼儿师范高等专科学校"</f>
        <v>合肥幼儿师范高等专科学校</v>
      </c>
      <c r="O28" t="str">
        <f>"2020.7"</f>
        <v>2020.7</v>
      </c>
      <c r="P28" t="str">
        <f>"大专"</f>
        <v>大专</v>
      </c>
      <c r="Q28" t="str">
        <f>"无"</f>
        <v>无</v>
      </c>
      <c r="R28" t="str">
        <f t="shared" si="7"/>
        <v>学前教育</v>
      </c>
      <c r="S28" t="str">
        <f>"合肥幼儿师范高等专科学校"</f>
        <v>合肥幼儿师范高等专科学校</v>
      </c>
      <c r="T28" t="str">
        <f>"2020.7"</f>
        <v>2020.7</v>
      </c>
      <c r="U28" t="str">
        <f>"幼儿园教师资格证"</f>
        <v>幼儿园教师资格证</v>
      </c>
      <c r="V28" t="str">
        <f>"4年"</f>
        <v>4年</v>
      </c>
      <c r="W28" t="str">
        <f>"三级教师"</f>
        <v>三级教师</v>
      </c>
      <c r="X28" t="str">
        <f t="shared" si="5"/>
        <v>是</v>
      </c>
      <c r="Y28" t="str">
        <f>"合肥瑶海东城广场幼儿园"</f>
        <v>合肥瑶海东城广场幼儿园</v>
      </c>
      <c r="Z28" t="str">
        <f>"18063094582"</f>
        <v>18063094582</v>
      </c>
      <c r="AA28" t="str">
        <f>"芳邻家园"</f>
        <v>芳邻家园</v>
      </c>
      <c r="AB28" s="1" t="str">
        <f>"2015. 9-2018. 7 舒城职业学校 学生
 2018. 9-2020. 7 合肥幼儿师范高等专科学校 学生
2020.9-至今 合肥瑶海东城广场幼儿园 教师"</f>
        <v>2015. 9-2018. 7 舒城职业学校 学生
 2018. 9-2020. 7 合肥幼儿师范高等专科学校 学生
2020.9-至今 合肥瑶海东城广场幼儿园 教师</v>
      </c>
      <c r="AC28" t="str">
        <f>"无"</f>
        <v>无</v>
      </c>
      <c r="AD28" t="str">
        <f>"舞蹈"</f>
        <v>舞蹈</v>
      </c>
      <c r="AE28" t="str">
        <f>"父亲|彭志斌|杭州|务工|母亲|胡桂香|家|务农|弟弟|彭涛|舒城学校|学生"</f>
        <v>父亲|彭志斌|杭州|务工|母亲|胡桂香|家|务农|弟弟|彭涛|舒城学校|学生</v>
      </c>
      <c r="AF28" s="2">
        <v>44984.54850694445</v>
      </c>
      <c r="AG28">
        <v>1</v>
      </c>
      <c r="AH28">
        <v>1</v>
      </c>
      <c r="AI28">
        <v>0</v>
      </c>
      <c r="AJ28" t="s">
        <v>69</v>
      </c>
      <c r="AK28" s="4">
        <v>58.6</v>
      </c>
      <c r="AL28" s="4">
        <v>64.2</v>
      </c>
      <c r="AM28" s="4">
        <v>61.400000000000006</v>
      </c>
      <c r="AN28">
        <v>0</v>
      </c>
    </row>
    <row r="29" spans="1:40" ht="18" customHeight="1">
      <c r="A29" t="str">
        <f>"141720230226104920340246"</f>
        <v>141720230226104920340246</v>
      </c>
      <c r="B29" t="s">
        <v>44</v>
      </c>
      <c r="C29" t="str">
        <f>"何雅逸"</f>
        <v>何雅逸</v>
      </c>
      <c r="D29" t="str">
        <f t="shared" si="9"/>
        <v>女</v>
      </c>
      <c r="E29" t="str">
        <f>"2003.06"</f>
        <v>2003.06</v>
      </c>
      <c r="F29" t="str">
        <f>"安徽亳州"</f>
        <v>安徽亳州</v>
      </c>
      <c r="G29" t="str">
        <f t="shared" si="3"/>
        <v>汉族</v>
      </c>
      <c r="H29" t="str">
        <f>"群众"</f>
        <v>群众</v>
      </c>
      <c r="I29" t="str">
        <f>"341623200306101027"</f>
        <v>341623200306101027</v>
      </c>
      <c r="J29" t="str">
        <f t="shared" si="10"/>
        <v>未婚</v>
      </c>
      <c r="K29" t="str">
        <f>"专科"</f>
        <v>专科</v>
      </c>
      <c r="L29" t="str">
        <f>"专科"</f>
        <v>专科</v>
      </c>
      <c r="M29" t="str">
        <f aca="true" t="shared" si="11" ref="M29:M34">"学前教育"</f>
        <v>学前教育</v>
      </c>
      <c r="N29" t="str">
        <f>"阜阳幼儿高等专科学校"</f>
        <v>阜阳幼儿高等专科学校</v>
      </c>
      <c r="O29" t="str">
        <f>"2023.06"</f>
        <v>2023.06</v>
      </c>
      <c r="P29" t="str">
        <f>"专科"</f>
        <v>专科</v>
      </c>
      <c r="Q29" t="str">
        <f>"专科"</f>
        <v>专科</v>
      </c>
      <c r="R29" t="str">
        <f t="shared" si="7"/>
        <v>学前教育</v>
      </c>
      <c r="S29" t="str">
        <f>"阜阳幼儿高等专科学校"</f>
        <v>阜阳幼儿高等专科学校</v>
      </c>
      <c r="T29" t="str">
        <f>"2023.06"</f>
        <v>2023.06</v>
      </c>
      <c r="U29" t="str">
        <f>"幼儿教师资格证"</f>
        <v>幼儿教师资格证</v>
      </c>
      <c r="V29" t="str">
        <f>"半年"</f>
        <v>半年</v>
      </c>
      <c r="W29" t="str">
        <f aca="true" t="shared" si="12" ref="W29:W36">"无"</f>
        <v>无</v>
      </c>
      <c r="X29" t="str">
        <f t="shared" si="5"/>
        <v>是</v>
      </c>
      <c r="Y29" t="str">
        <f>"新型家园幼儿园"</f>
        <v>新型家园幼儿园</v>
      </c>
      <c r="Z29" t="str">
        <f>"18226099508"</f>
        <v>18226099508</v>
      </c>
      <c r="AA29" t="str">
        <f>"新型家园"</f>
        <v>新型家园</v>
      </c>
      <c r="AB29" t="str">
        <f>"2018-2022阜阳高等专科学校的学生，2023年写新型家园实习老师"</f>
        <v>2018-2022阜阳高等专科学校的学生，2023年写新型家园实习老师</v>
      </c>
      <c r="AC29" t="str">
        <f>"获得校内班级二等奖学金，三等奖学金"</f>
        <v>获得校内班级二等奖学金，三等奖学金</v>
      </c>
      <c r="AD29" t="str">
        <f>"喜欢画画，考过舞蹈证书"</f>
        <v>喜欢画画，考过舞蹈证书</v>
      </c>
      <c r="AE29" t="str">
        <f>"父女|何坤|||母女|凡春丽|||姐弟|何志伟||"</f>
        <v>父女|何坤|||母女|凡春丽|||姐弟|何志伟||</v>
      </c>
      <c r="AF29" s="2">
        <v>44986.379837962966</v>
      </c>
      <c r="AG29">
        <v>1</v>
      </c>
      <c r="AH29">
        <v>1</v>
      </c>
      <c r="AI29">
        <v>0</v>
      </c>
      <c r="AJ29" t="s">
        <v>70</v>
      </c>
      <c r="AK29" s="4" t="s">
        <v>264</v>
      </c>
      <c r="AL29" s="4" t="s">
        <v>264</v>
      </c>
      <c r="AM29" s="4" t="s">
        <v>264</v>
      </c>
      <c r="AN29">
        <v>0</v>
      </c>
    </row>
    <row r="30" spans="1:40" ht="18" customHeight="1">
      <c r="A30" t="str">
        <f>"141720230226104925340247"</f>
        <v>141720230226104925340247</v>
      </c>
      <c r="B30" t="s">
        <v>44</v>
      </c>
      <c r="C30" t="str">
        <f>"陈楠"</f>
        <v>陈楠</v>
      </c>
      <c r="D30" t="str">
        <f t="shared" si="9"/>
        <v>女</v>
      </c>
      <c r="E30" t="str">
        <f>"2003.10.12"</f>
        <v>2003.10.12</v>
      </c>
      <c r="F30" t="str">
        <f>"池州"</f>
        <v>池州</v>
      </c>
      <c r="G30" t="str">
        <f t="shared" si="3"/>
        <v>汉族</v>
      </c>
      <c r="H30" t="str">
        <f>"群众"</f>
        <v>群众</v>
      </c>
      <c r="I30" t="str">
        <f>"34172320031012602X"</f>
        <v>34172320031012602X</v>
      </c>
      <c r="J30" t="str">
        <f t="shared" si="10"/>
        <v>未婚</v>
      </c>
      <c r="K30" t="str">
        <f>"专科"</f>
        <v>专科</v>
      </c>
      <c r="L30" t="str">
        <f>"专科"</f>
        <v>专科</v>
      </c>
      <c r="M30" t="str">
        <f t="shared" si="11"/>
        <v>学前教育</v>
      </c>
      <c r="N30" t="str">
        <f>"阜阳幼儿高等专科学校"</f>
        <v>阜阳幼儿高等专科学校</v>
      </c>
      <c r="O30" t="str">
        <f>"2023.6"</f>
        <v>2023.6</v>
      </c>
      <c r="P30" t="str">
        <f>"专科"</f>
        <v>专科</v>
      </c>
      <c r="Q30" t="str">
        <f>"专科"</f>
        <v>专科</v>
      </c>
      <c r="R30" t="str">
        <f t="shared" si="7"/>
        <v>学前教育</v>
      </c>
      <c r="S30" t="str">
        <f>"阜阳幼儿高等专科学校"</f>
        <v>阜阳幼儿高等专科学校</v>
      </c>
      <c r="T30" t="str">
        <f>"2023.6"</f>
        <v>2023.6</v>
      </c>
      <c r="U30" t="str">
        <f>"幼儿园教师资格证"</f>
        <v>幼儿园教师资格证</v>
      </c>
      <c r="V30" t="str">
        <f>"半年"</f>
        <v>半年</v>
      </c>
      <c r="W30" t="str">
        <f t="shared" si="12"/>
        <v>无</v>
      </c>
      <c r="X30" t="str">
        <f t="shared" si="5"/>
        <v>是</v>
      </c>
      <c r="Y30" t="str">
        <f>"新型家园幼儿园"</f>
        <v>新型家园幼儿园</v>
      </c>
      <c r="Z30" t="str">
        <f>"15805662098"</f>
        <v>15805662098</v>
      </c>
      <c r="AA30" t="str">
        <f>"新型家园"</f>
        <v>新型家园</v>
      </c>
      <c r="AB30" s="1" t="str">
        <f>"2018～2022，阜阳幼儿高等专科学校的学生
2023～至今新型家园幼儿园实习老师"</f>
        <v>2018～2022，阜阳幼儿高等专科学校的学生
2023～至今新型家园幼儿园实习老师</v>
      </c>
      <c r="AC30" t="str">
        <f>"获得过二等奖学金，三等奖学金"</f>
        <v>获得过二等奖学金，三等奖学金</v>
      </c>
      <c r="AD30" t="str">
        <f>"绘画，弹琴"</f>
        <v>绘画，弹琴</v>
      </c>
      <c r="AE30" t="str">
        <f>"父女|陈大富|||母女|孙翠凤||||||"</f>
        <v>父女|陈大富|||母女|孙翠凤||||||</v>
      </c>
      <c r="AF30" s="2">
        <v>44985.48515046296</v>
      </c>
      <c r="AG30">
        <v>1</v>
      </c>
      <c r="AH30">
        <v>1</v>
      </c>
      <c r="AI30">
        <v>0</v>
      </c>
      <c r="AJ30" t="s">
        <v>71</v>
      </c>
      <c r="AK30" s="4" t="s">
        <v>264</v>
      </c>
      <c r="AL30" s="4" t="s">
        <v>264</v>
      </c>
      <c r="AM30" s="4" t="s">
        <v>264</v>
      </c>
      <c r="AN30">
        <v>0</v>
      </c>
    </row>
    <row r="31" spans="1:40" ht="18" customHeight="1">
      <c r="A31" t="str">
        <f>"141720230226105054340249"</f>
        <v>141720230226105054340249</v>
      </c>
      <c r="B31" t="s">
        <v>44</v>
      </c>
      <c r="C31" t="str">
        <f>"张馨宇"</f>
        <v>张馨宇</v>
      </c>
      <c r="D31" t="str">
        <f t="shared" si="9"/>
        <v>女</v>
      </c>
      <c r="E31" t="str">
        <f>"2000-4"</f>
        <v>2000-4</v>
      </c>
      <c r="F31" t="str">
        <f>"安徽安庆市"</f>
        <v>安徽安庆市</v>
      </c>
      <c r="G31" t="str">
        <f t="shared" si="3"/>
        <v>汉族</v>
      </c>
      <c r="H31" t="str">
        <f>"共青团员"</f>
        <v>共青团员</v>
      </c>
      <c r="I31" t="str">
        <f>"341004200004040028"</f>
        <v>341004200004040028</v>
      </c>
      <c r="J31" t="str">
        <f t="shared" si="10"/>
        <v>未婚</v>
      </c>
      <c r="K31" t="str">
        <f>"本科"</f>
        <v>本科</v>
      </c>
      <c r="L31" t="str">
        <f>"学士"</f>
        <v>学士</v>
      </c>
      <c r="M31" t="str">
        <f t="shared" si="11"/>
        <v>学前教育</v>
      </c>
      <c r="N31" t="str">
        <f>"江西科技师范大学"</f>
        <v>江西科技师范大学</v>
      </c>
      <c r="O31" t="str">
        <f>"2022-7-10"</f>
        <v>2022-7-10</v>
      </c>
      <c r="P31" t="str">
        <f>"本科"</f>
        <v>本科</v>
      </c>
      <c r="Q31" t="str">
        <f>"学士"</f>
        <v>学士</v>
      </c>
      <c r="R31" t="str">
        <f t="shared" si="7"/>
        <v>学前教育</v>
      </c>
      <c r="S31" t="str">
        <f>"江西科技师范大学"</f>
        <v>江西科技师范大学</v>
      </c>
      <c r="T31" t="str">
        <f>"2022-7-10"</f>
        <v>2022-7-10</v>
      </c>
      <c r="U31" t="str">
        <f>"幼儿园教师资格证"</f>
        <v>幼儿园教师资格证</v>
      </c>
      <c r="V31" t="str">
        <f>"无"</f>
        <v>无</v>
      </c>
      <c r="W31" t="str">
        <f t="shared" si="12"/>
        <v>无</v>
      </c>
      <c r="X31" t="str">
        <f t="shared" si="5"/>
        <v>是</v>
      </c>
      <c r="Y31" t="str">
        <f>"无"</f>
        <v>无</v>
      </c>
      <c r="Z31" t="str">
        <f>"13733061578"</f>
        <v>13733061578</v>
      </c>
      <c r="AA31" t="str">
        <f>"安徽省黄山市徽州区岩寺镇水街龙井二路63号"</f>
        <v>安徽省黄山市徽州区岩寺镇水街龙井二路63号</v>
      </c>
      <c r="AB31" s="1" t="str">
        <f>"2015.9-2018.6 安徽省歙县中学 学生
2018.7安徽省黄山市徽州区岩寺镇新四军军部旧址纪念馆 志愿讲解员
2018.9-2022.7 江西科技师范大学 学生
2019.7 安徽省黄山市徽州区爱格伦幼儿园 大班助教
2022.6-2022.12 江西省宜春市靖安县村上康教中心 实习特教老师"</f>
        <v>2015.9-2018.6 安徽省歙县中学 学生
2018.7安徽省黄山市徽州区岩寺镇新四军军部旧址纪念馆 志愿讲解员
2018.9-2022.7 江西科技师范大学 学生
2019.7 安徽省黄山市徽州区爱格伦幼儿园 大班助教
2022.6-2022.12 江西省宜春市靖安县村上康教中心 实习特教老师</v>
      </c>
      <c r="AC31" t="str">
        <f>"校二等、三等奖学金；第十届江西省大学生书法大赛软笔组三等奖；第十二届“翰墨杯”书画大赛软笔组一等奖；大学生暑期社会实践调研报告二等奖"</f>
        <v>校二等、三等奖学金；第十届江西省大学生书法大赛软笔组三等奖；第十二届“翰墨杯”书画大赛软笔组一等奖；大学生暑期社会实践调研报告二等奖</v>
      </c>
      <c r="AD31" t="str">
        <f>"书法九级优秀"</f>
        <v>书法九级优秀</v>
      </c>
      <c r="AE31" t="str">
        <f>"母女|汪珊珊|安徽省黄山市万福科技有限公司|销售员|父女|张文将|安徽省黄山市万福科技有限公司|经理||||"</f>
        <v>母女|汪珊珊|安徽省黄山市万福科技有限公司|销售员|父女|张文将|安徽省黄山市万福科技有限公司|经理||||</v>
      </c>
      <c r="AF31" s="2">
        <v>44984.457974537036</v>
      </c>
      <c r="AG31">
        <v>1</v>
      </c>
      <c r="AH31">
        <v>1</v>
      </c>
      <c r="AI31">
        <v>0</v>
      </c>
      <c r="AJ31" t="s">
        <v>72</v>
      </c>
      <c r="AK31" s="4">
        <v>69.5</v>
      </c>
      <c r="AL31" s="4">
        <v>79.3</v>
      </c>
      <c r="AM31" s="4">
        <v>74.4</v>
      </c>
      <c r="AN31">
        <v>0</v>
      </c>
    </row>
    <row r="32" spans="1:40" ht="18" customHeight="1">
      <c r="A32" t="str">
        <f>"141720230226111135340254"</f>
        <v>141720230226111135340254</v>
      </c>
      <c r="B32" t="s">
        <v>44</v>
      </c>
      <c r="C32" t="str">
        <f>"张萍"</f>
        <v>张萍</v>
      </c>
      <c r="D32" t="str">
        <f t="shared" si="9"/>
        <v>女</v>
      </c>
      <c r="E32" t="str">
        <f>"1999-07"</f>
        <v>1999-07</v>
      </c>
      <c r="F32" t="str">
        <f>"安徽安庆市"</f>
        <v>安徽安庆市</v>
      </c>
      <c r="G32" t="str">
        <f t="shared" si="3"/>
        <v>汉族</v>
      </c>
      <c r="H32" t="str">
        <f>"共青团员"</f>
        <v>共青团员</v>
      </c>
      <c r="I32" t="str">
        <f>"340828199907242120"</f>
        <v>340828199907242120</v>
      </c>
      <c r="J32" t="str">
        <f t="shared" si="10"/>
        <v>未婚</v>
      </c>
      <c r="K32" t="str">
        <f>"本科"</f>
        <v>本科</v>
      </c>
      <c r="L32" t="str">
        <f>"学士"</f>
        <v>学士</v>
      </c>
      <c r="M32" t="str">
        <f t="shared" si="11"/>
        <v>学前教育</v>
      </c>
      <c r="N32" t="str">
        <f>"蚌埠学院"</f>
        <v>蚌埠学院</v>
      </c>
      <c r="O32" t="str">
        <f>"2021-06"</f>
        <v>2021-06</v>
      </c>
      <c r="P32" t="str">
        <f>"本科"</f>
        <v>本科</v>
      </c>
      <c r="Q32" t="str">
        <f>"学士"</f>
        <v>学士</v>
      </c>
      <c r="R32" t="str">
        <f t="shared" si="7"/>
        <v>学前教育</v>
      </c>
      <c r="S32" t="str">
        <f>"蚌埠学院"</f>
        <v>蚌埠学院</v>
      </c>
      <c r="T32" t="str">
        <f>"2021-06"</f>
        <v>2021-06</v>
      </c>
      <c r="U32" t="str">
        <f>"教师资格证（幼儿园）"</f>
        <v>教师资格证（幼儿园）</v>
      </c>
      <c r="V32" t="str">
        <f>"1.5年"</f>
        <v>1.5年</v>
      </c>
      <c r="W32" t="str">
        <f t="shared" si="12"/>
        <v>无</v>
      </c>
      <c r="X32" t="str">
        <f t="shared" si="5"/>
        <v>是</v>
      </c>
      <c r="Y32" t="str">
        <f>"合肥市蜀山区一碗好羊汤馆"</f>
        <v>合肥市蜀山区一碗好羊汤馆</v>
      </c>
      <c r="Z32" t="str">
        <f>"15755696153"</f>
        <v>15755696153</v>
      </c>
      <c r="AA32" t="str">
        <f>"安徽省合肥市蜀山区国建香榭水都"</f>
        <v>安徽省合肥市蜀山区国建香榭水都</v>
      </c>
      <c r="AB32" s="1" t="str">
        <f>"2014年9月-2017年6月在安庆大别山科技学校就读高中；
2017年9月-2021年6月在蚌埠学院就读大学；
2021年8月-2022年9月在安徽省安庆市岳西县金色摇篮紫薇幼儿园工作；
2022年10月至今在合肥市蜀山区一碗好羊汤馆工作。"</f>
        <v>2014年9月-2017年6月在安庆大别山科技学校就读高中；
2017年9月-2021年6月在蚌埠学院就读大学；
2021年8月-2022年9月在安徽省安庆市岳西县金色摇篮紫薇幼儿园工作；
2022年10月至今在合肥市蜀山区一碗好羊汤馆工作。</v>
      </c>
      <c r="AC32" s="1" t="str">
        <f>"自创儿歌《小老鼠钓鱼》在中国儿童文学研究会中荣获一等奖；
在蚌埠学院荣获四年奖学金、优秀班干部、三好学生、蚌埠学院双优生。"</f>
        <v>自创儿歌《小老鼠钓鱼》在中国儿童文学研究会中荣获一等奖；
在蚌埠学院荣获四年奖学金、优秀班干部、三好学生、蚌埠学院双优生。</v>
      </c>
      <c r="AD32" t="str">
        <f>"折纸、做环创、讲故事"</f>
        <v>折纸、做环创、讲故事</v>
      </c>
      <c r="AE32" t="str">
        <f>"父女|张水苗|安徽省安庆市岳西县|务农|母女|刘小末|安徽省合肥市蜀山区|厨工|姐妹|张倩|安徽省安庆市岳西县|学生"</f>
        <v>父女|张水苗|安徽省安庆市岳西县|务农|母女|刘小末|安徽省合肥市蜀山区|厨工|姐妹|张倩|安徽省安庆市岳西县|学生</v>
      </c>
      <c r="AF32" s="2">
        <v>44986.40048611111</v>
      </c>
      <c r="AG32">
        <v>1</v>
      </c>
      <c r="AH32">
        <v>1</v>
      </c>
      <c r="AI32">
        <v>0</v>
      </c>
      <c r="AJ32" t="s">
        <v>73</v>
      </c>
      <c r="AK32" s="4">
        <v>61.8</v>
      </c>
      <c r="AL32" s="4">
        <v>58.6</v>
      </c>
      <c r="AM32" s="4">
        <v>60.2</v>
      </c>
      <c r="AN32">
        <v>0</v>
      </c>
    </row>
    <row r="33" spans="1:40" ht="18" customHeight="1">
      <c r="A33" t="str">
        <f>"141720230226113140340263"</f>
        <v>141720230226113140340263</v>
      </c>
      <c r="B33" t="s">
        <v>44</v>
      </c>
      <c r="C33" t="str">
        <f>"宋圆圆"</f>
        <v>宋圆圆</v>
      </c>
      <c r="D33" t="str">
        <f t="shared" si="9"/>
        <v>女</v>
      </c>
      <c r="E33" t="str">
        <f>"1998-4"</f>
        <v>1998-4</v>
      </c>
      <c r="F33" t="str">
        <f>"安徽滁州"</f>
        <v>安徽滁州</v>
      </c>
      <c r="G33" t="str">
        <f t="shared" si="3"/>
        <v>汉族</v>
      </c>
      <c r="H33" t="str">
        <f>"共青团员"</f>
        <v>共青团员</v>
      </c>
      <c r="I33" t="str">
        <f>"340123199804086225"</f>
        <v>340123199804086225</v>
      </c>
      <c r="J33" t="str">
        <f t="shared" si="10"/>
        <v>未婚</v>
      </c>
      <c r="K33" t="str">
        <f>"本科"</f>
        <v>本科</v>
      </c>
      <c r="L33" t="str">
        <f>"本科"</f>
        <v>本科</v>
      </c>
      <c r="M33" t="str">
        <f t="shared" si="11"/>
        <v>学前教育</v>
      </c>
      <c r="N33" t="str">
        <f>"安徽师范大学"</f>
        <v>安徽师范大学</v>
      </c>
      <c r="O33" t="str">
        <f>"2022-7"</f>
        <v>2022-7</v>
      </c>
      <c r="P33" t="str">
        <f>"本科"</f>
        <v>本科</v>
      </c>
      <c r="Q33" t="str">
        <f>"学士"</f>
        <v>学士</v>
      </c>
      <c r="R33" t="str">
        <f t="shared" si="7"/>
        <v>学前教育</v>
      </c>
      <c r="S33" t="str">
        <f>"安徽师范大学"</f>
        <v>安徽师范大学</v>
      </c>
      <c r="T33" t="str">
        <f>"2022-7"</f>
        <v>2022-7</v>
      </c>
      <c r="U33" t="str">
        <f>"幼儿教师资格证、普通话二级甲等、舞蹈教师资格证"</f>
        <v>幼儿教师资格证、普通话二级甲等、舞蹈教师资格证</v>
      </c>
      <c r="V33" t="str">
        <f>"一年"</f>
        <v>一年</v>
      </c>
      <c r="W33" t="str">
        <f t="shared" si="12"/>
        <v>无</v>
      </c>
      <c r="X33" t="str">
        <f t="shared" si="5"/>
        <v>是</v>
      </c>
      <c r="Y33" t="str">
        <f>"新华幼教集团"</f>
        <v>新华幼教集团</v>
      </c>
      <c r="Z33" t="str">
        <f>"18055017969"</f>
        <v>18055017969</v>
      </c>
      <c r="AA33" t="str">
        <f>"安徽省瑶海区襄合家园"</f>
        <v>安徽省瑶海区襄合家园</v>
      </c>
      <c r="AB33" s="1" t="s">
        <v>47</v>
      </c>
      <c r="AC33" t="str">
        <f>"无"</f>
        <v>无</v>
      </c>
      <c r="AD33" t="str">
        <f>"舞蹈 绘本阅读"</f>
        <v>舞蹈 绘本阅读</v>
      </c>
      <c r="AE33" t="str">
        <f>"父女|宋庭斌|务农||母女|武有翠|务农|||||"</f>
        <v>父女|宋庭斌|务农||母女|武有翠|务农|||||</v>
      </c>
      <c r="AF33" s="2">
        <v>44984.431805555556</v>
      </c>
      <c r="AG33">
        <v>1</v>
      </c>
      <c r="AH33">
        <v>1</v>
      </c>
      <c r="AI33">
        <v>0</v>
      </c>
      <c r="AJ33" t="s">
        <v>74</v>
      </c>
      <c r="AK33" s="4">
        <v>57.2</v>
      </c>
      <c r="AL33" s="4">
        <v>63.2</v>
      </c>
      <c r="AM33" s="4">
        <v>60.2</v>
      </c>
      <c r="AN33">
        <v>0</v>
      </c>
    </row>
    <row r="34" spans="1:40" ht="18" customHeight="1">
      <c r="A34" t="str">
        <f>"141720230226113420340264"</f>
        <v>141720230226113420340264</v>
      </c>
      <c r="B34" t="s">
        <v>44</v>
      </c>
      <c r="C34" t="str">
        <f>"高灵星"</f>
        <v>高灵星</v>
      </c>
      <c r="D34" t="str">
        <f t="shared" si="9"/>
        <v>女</v>
      </c>
      <c r="E34" t="str">
        <f>"1998年12月"</f>
        <v>1998年12月</v>
      </c>
      <c r="F34" t="str">
        <f>"安徽巢湖市"</f>
        <v>安徽巢湖市</v>
      </c>
      <c r="G34" t="str">
        <f t="shared" si="3"/>
        <v>汉族</v>
      </c>
      <c r="H34" t="str">
        <f>"共青团员"</f>
        <v>共青团员</v>
      </c>
      <c r="I34" t="str">
        <f>"34260119981215214X"</f>
        <v>34260119981215214X</v>
      </c>
      <c r="J34" t="str">
        <f t="shared" si="10"/>
        <v>未婚</v>
      </c>
      <c r="K34" t="str">
        <f>"专科"</f>
        <v>专科</v>
      </c>
      <c r="L34" t="str">
        <f>"无"</f>
        <v>无</v>
      </c>
      <c r="M34" t="str">
        <f t="shared" si="11"/>
        <v>学前教育</v>
      </c>
      <c r="N34" t="str">
        <f>"淮南联合大学"</f>
        <v>淮南联合大学</v>
      </c>
      <c r="O34" t="str">
        <f>"2021年7月1日"</f>
        <v>2021年7月1日</v>
      </c>
      <c r="P34" t="str">
        <f>"专科"</f>
        <v>专科</v>
      </c>
      <c r="Q34" t="str">
        <f>"无"</f>
        <v>无</v>
      </c>
      <c r="R34" t="str">
        <f t="shared" si="7"/>
        <v>学前教育</v>
      </c>
      <c r="S34" t="str">
        <f>"淮南联合大学"</f>
        <v>淮南联合大学</v>
      </c>
      <c r="T34" t="str">
        <f>"2021年7月1日"</f>
        <v>2021年7月1日</v>
      </c>
      <c r="U34" t="str">
        <f>"幼儿教师资格证书号码：20213407212000056"</f>
        <v>幼儿教师资格证书号码：20213407212000056</v>
      </c>
      <c r="V34" t="str">
        <f>"1年"</f>
        <v>1年</v>
      </c>
      <c r="W34" t="str">
        <f t="shared" si="12"/>
        <v>无</v>
      </c>
      <c r="X34" t="str">
        <f t="shared" si="5"/>
        <v>是</v>
      </c>
      <c r="Y34" t="str">
        <f>"无"</f>
        <v>无</v>
      </c>
      <c r="Z34" t="str">
        <f>"19855413725"</f>
        <v>19855413725</v>
      </c>
      <c r="AA34" t="str">
        <f>"安徽省巢湖市坝镇湖东行政村姑塘村"</f>
        <v>安徽省巢湖市坝镇湖东行政村姑塘村</v>
      </c>
      <c r="AB34" s="1" t="str">
        <f>"2015年9月-2018年7月，安徽省巢湖市槐林中学，学生；
2018年9月-2021年7月，安徽省淮南联合大学学前教育专业，学生；
2021年8月-2022年7月，安徽省巢湖市凤凰山庄幼儿园幼师；
2022年7月-至今，待业；
"</f>
        <v>2015年9月-2018年7月，安徽省巢湖市槐林中学，学生；
2018年9月-2021年7月，安徽省淮南联合大学学前教育专业，学生；
2021年8月-2022年7月，安徽省巢湖市凤凰山庄幼儿园幼师；
2022年7月-至今，待业；
</v>
      </c>
      <c r="AC34" t="str">
        <f>"无"</f>
        <v>无</v>
      </c>
      <c r="AD34" t="str">
        <f>"唱歌、画画、跳舞"</f>
        <v>唱歌、画画、跳舞</v>
      </c>
      <c r="AE34" t="str">
        <f>"父亲|高正明|无|无|母亲|徐珍梅|无|无|弟弟|高志强|无|学生"</f>
        <v>父亲|高正明|无|无|母亲|徐珍梅|无|无|弟弟|高志强|无|学生</v>
      </c>
      <c r="AF34" s="2">
        <v>44984.43603009259</v>
      </c>
      <c r="AG34">
        <v>1</v>
      </c>
      <c r="AH34">
        <v>1</v>
      </c>
      <c r="AI34">
        <v>0</v>
      </c>
      <c r="AJ34" t="s">
        <v>75</v>
      </c>
      <c r="AK34" s="4">
        <v>65.4</v>
      </c>
      <c r="AL34" s="4">
        <v>64.9</v>
      </c>
      <c r="AM34" s="4">
        <v>65.15</v>
      </c>
      <c r="AN34">
        <v>0</v>
      </c>
    </row>
    <row r="35" spans="1:40" ht="18" customHeight="1">
      <c r="A35" t="str">
        <f>"141720230226113755340266"</f>
        <v>141720230226113755340266</v>
      </c>
      <c r="B35" t="s">
        <v>44</v>
      </c>
      <c r="C35" t="str">
        <f>"许陈程"</f>
        <v>许陈程</v>
      </c>
      <c r="D35" t="str">
        <f t="shared" si="9"/>
        <v>女</v>
      </c>
      <c r="E35" t="str">
        <f>"2000-02-12"</f>
        <v>2000-02-12</v>
      </c>
      <c r="F35" t="str">
        <f>"安徽省合肥市庐江县"</f>
        <v>安徽省合肥市庐江县</v>
      </c>
      <c r="G35" t="str">
        <f t="shared" si="3"/>
        <v>汉族</v>
      </c>
      <c r="H35" t="str">
        <f>"群众"</f>
        <v>群众</v>
      </c>
      <c r="I35" t="str">
        <f>"342622200002123782"</f>
        <v>342622200002123782</v>
      </c>
      <c r="J35" t="str">
        <f t="shared" si="10"/>
        <v>未婚</v>
      </c>
      <c r="K35" t="str">
        <f>"函授制本科"</f>
        <v>函授制本科</v>
      </c>
      <c r="L35" t="str">
        <f>"无"</f>
        <v>无</v>
      </c>
      <c r="M35" t="str">
        <f>"汉语言文学"</f>
        <v>汉语言文学</v>
      </c>
      <c r="N35" t="str">
        <f>"合肥学院"</f>
        <v>合肥学院</v>
      </c>
      <c r="O35" t="str">
        <f>"2022-07"</f>
        <v>2022-07</v>
      </c>
      <c r="P35" t="str">
        <f>"大专"</f>
        <v>大专</v>
      </c>
      <c r="Q35" t="str">
        <f>"无"</f>
        <v>无</v>
      </c>
      <c r="R35" t="str">
        <f t="shared" si="7"/>
        <v>学前教育</v>
      </c>
      <c r="S35" t="str">
        <f>"合肥学院"</f>
        <v>合肥学院</v>
      </c>
      <c r="T35" t="str">
        <f>"2018-07"</f>
        <v>2018-07</v>
      </c>
      <c r="U35" t="str">
        <f>"幼儿园教师资格证、育婴员四级证书、普通话二级甲等、小学语文教师资格证、小学数学教师资格证"</f>
        <v>幼儿园教师资格证、育婴员四级证书、普通话二级甲等、小学语文教师资格证、小学数学教师资格证</v>
      </c>
      <c r="V35" t="str">
        <f>"2016-至今"</f>
        <v>2016-至今</v>
      </c>
      <c r="W35" t="str">
        <f t="shared" si="12"/>
        <v>无</v>
      </c>
      <c r="X35" t="str">
        <f>"否"</f>
        <v>否</v>
      </c>
      <c r="Y35" t="str">
        <f>"庐江县向日葵幼教光能花园幼儿园"</f>
        <v>庐江县向日葵幼教光能花园幼儿园</v>
      </c>
      <c r="Z35" t="str">
        <f>"15856501256"</f>
        <v>15856501256</v>
      </c>
      <c r="AA35" t="str">
        <f>"安徽省合肥市庐江县白山镇十联村早柯组"</f>
        <v>安徽省合肥市庐江县白山镇十联村早柯组</v>
      </c>
      <c r="AB35" s="1" t="str">
        <f>"2014.09-2017.07安徽轻工业技师学院 学前教育 学生；
2016.02-2018.07合肥学院（函授大专）学前教育 学生；
2020.03-2022.07合肥学院（函授本科）汉语言文学 学生；
2016.02-2018.02庐江县庐城镇新星幼儿园 实习教师后转正；
2018.02-2020.08庐江县向日葵幼教庐城镇盛世莲花幼儿园 教师；
2020.09-至今庐江县向日葵幼教庐城镇光能花园幼儿园  教师。"</f>
        <v>2014.09-2017.07安徽轻工业技师学院 学前教育 学生；
2016.02-2018.07合肥学院（函授大专）学前教育 学生；
2020.03-2022.07合肥学院（函授本科）汉语言文学 学生；
2016.02-2018.02庐江县庐城镇新星幼儿园 实习教师后转正；
2018.02-2020.08庐江县向日葵幼教庐城镇盛世莲花幼儿园 教师；
2020.09-至今庐江县向日葵幼教庐城镇光能花园幼儿园  教师。</v>
      </c>
      <c r="AC35" s="1" t="str">
        <f>"2015年10月份在校获得奖学金；
2016.02-2018.01期间，在园内教师美术评比中，作品《翩翩起舞》荣获“三等奖”；指导幼儿舞蹈《外星宝贝》在庐江县民办幼儿教育协会举办的比赛中荣获“二等奖”；
2018.02-2020.01期间，在园内年度评比中被评为“先进个人”；指导幼儿舞蹈《快乐的小铃鼓》在庐城镇人民政府举办的“远离邪教 健康成长”大型文艺汇演中荣获幼儿组“二等奖”和“最佳组织奖”；
2020.09-至今期间，在园内年度评比中先后获得“先进个人”和“年度优秀班级”称号。"</f>
        <v>2015年10月份在校获得奖学金；
2016.02-2018.01期间，在园内教师美术评比中，作品《翩翩起舞》荣获“三等奖”；指导幼儿舞蹈《外星宝贝》在庐江县民办幼儿教育协会举办的比赛中荣获“二等奖”；
2018.02-2020.01期间，在园内年度评比中被评为“先进个人”；指导幼儿舞蹈《快乐的小铃鼓》在庐城镇人民政府举办的“远离邪教 健康成长”大型文艺汇演中荣获幼儿组“二等奖”和“最佳组织奖”；
2020.09-至今期间，在园内年度评比中先后获得“先进个人”和“年度优秀班级”称号。</v>
      </c>
      <c r="AD35" t="str">
        <f>"爱好：舞蹈"</f>
        <v>爱好：舞蹈</v>
      </c>
      <c r="AE35" t="str">
        <f>"父亲|许光鲍||务农|姐姐|许杉杉|安德利广场|销售||||"</f>
        <v>父亲|许光鲍||务农|姐姐|许杉杉|安德利广场|销售||||</v>
      </c>
      <c r="AF35" s="2">
        <v>44984.445393518516</v>
      </c>
      <c r="AG35">
        <v>1</v>
      </c>
      <c r="AH35">
        <v>1</v>
      </c>
      <c r="AI35">
        <v>0</v>
      </c>
      <c r="AJ35" t="s">
        <v>76</v>
      </c>
      <c r="AK35" s="4">
        <v>68.3</v>
      </c>
      <c r="AL35" s="4">
        <v>68.5</v>
      </c>
      <c r="AM35" s="4">
        <v>68.4</v>
      </c>
      <c r="AN35">
        <v>0</v>
      </c>
    </row>
    <row r="36" spans="1:40" ht="18" customHeight="1">
      <c r="A36" t="str">
        <f>"141720230226120227340271"</f>
        <v>141720230226120227340271</v>
      </c>
      <c r="B36" t="s">
        <v>44</v>
      </c>
      <c r="C36" t="str">
        <f>"薛礼蓉"</f>
        <v>薛礼蓉</v>
      </c>
      <c r="D36" t="str">
        <f t="shared" si="9"/>
        <v>女</v>
      </c>
      <c r="E36" t="str">
        <f>"2001-3"</f>
        <v>2001-3</v>
      </c>
      <c r="F36" t="str">
        <f>"安徽六安"</f>
        <v>安徽六安</v>
      </c>
      <c r="G36" t="str">
        <f t="shared" si="3"/>
        <v>汉族</v>
      </c>
      <c r="H36" t="str">
        <f>"共青团员"</f>
        <v>共青团员</v>
      </c>
      <c r="I36" t="str">
        <f>"342425200103135545"</f>
        <v>342425200103135545</v>
      </c>
      <c r="J36" t="str">
        <f t="shared" si="10"/>
        <v>未婚</v>
      </c>
      <c r="K36" t="str">
        <f>"本科"</f>
        <v>本科</v>
      </c>
      <c r="L36" t="str">
        <f>"学士学位"</f>
        <v>学士学位</v>
      </c>
      <c r="M36" t="str">
        <f aca="true" t="shared" si="13" ref="M36:M43">"学前教育"</f>
        <v>学前教育</v>
      </c>
      <c r="N36" t="str">
        <f>"合肥师范学院"</f>
        <v>合肥师范学院</v>
      </c>
      <c r="O36" t="str">
        <f>"2023.7"</f>
        <v>2023.7</v>
      </c>
      <c r="P36" t="str">
        <f>"本科"</f>
        <v>本科</v>
      </c>
      <c r="Q36" t="str">
        <f>"学士学位"</f>
        <v>学士学位</v>
      </c>
      <c r="R36" t="str">
        <f t="shared" si="7"/>
        <v>学前教育</v>
      </c>
      <c r="S36" t="str">
        <f>"合肥师范学院"</f>
        <v>合肥师范学院</v>
      </c>
      <c r="T36" t="str">
        <f>"2023.7"</f>
        <v>2023.7</v>
      </c>
      <c r="U36" t="str">
        <f>"国家普通话水平测试二级甲等、国家幼儿教师资格证书"</f>
        <v>国家普通话水平测试二级甲等、国家幼儿教师资格证书</v>
      </c>
      <c r="V36" t="str">
        <f>"无"</f>
        <v>无</v>
      </c>
      <c r="W36" t="str">
        <f t="shared" si="12"/>
        <v>无</v>
      </c>
      <c r="X36" t="str">
        <f>"是"</f>
        <v>是</v>
      </c>
      <c r="Y36" t="str">
        <f>"无"</f>
        <v>无</v>
      </c>
      <c r="Z36" t="str">
        <f>"15955939787"</f>
        <v>15955939787</v>
      </c>
      <c r="AA36" t="str">
        <f>"合肥师范学院"</f>
        <v>合肥师范学院</v>
      </c>
      <c r="AB36" s="1" t="str">
        <f>"2016.9－2019.6 舒城中学 学生
2019.9－2023.7 合肥师范学院 学生"</f>
        <v>2016.9－2019.6 舒城中学 学生
2019.9－2023.7 合肥师范学院 学生</v>
      </c>
      <c r="AC36" s="1" t="str">
        <f>"2021-2022学年度被评为“优秀共青团员”；
2021-2022学年度获优秀学生三等奖学金。"</f>
        <v>2021-2022学年度被评为“优秀共青团员”；
2021-2022学年度获优秀学生三等奖学金。</v>
      </c>
      <c r="AD36" t="str">
        <f>"阅读；运动；轮滑。"</f>
        <v>阅读；运动；轮滑。</v>
      </c>
      <c r="AE36" t="str">
        <f>"父女|薛维青|舒城县瑞宇劳务服务部|个体户|母女|刘莲姣|无|无|姐弟|薛礼增|安徽工商职业学院|学生"</f>
        <v>父女|薛维青|舒城县瑞宇劳务服务部|个体户|母女|刘莲姣|无|无|姐弟|薛礼增|安徽工商职业学院|学生</v>
      </c>
      <c r="AF36" s="2">
        <v>44984.45858796296</v>
      </c>
      <c r="AG36">
        <v>1</v>
      </c>
      <c r="AH36">
        <v>1</v>
      </c>
      <c r="AI36">
        <v>0</v>
      </c>
      <c r="AJ36" t="s">
        <v>77</v>
      </c>
      <c r="AK36" s="4">
        <v>76</v>
      </c>
      <c r="AL36" s="4">
        <v>67.5</v>
      </c>
      <c r="AM36" s="4">
        <v>71.75</v>
      </c>
      <c r="AN36">
        <v>0</v>
      </c>
    </row>
    <row r="37" spans="1:40" ht="18" customHeight="1">
      <c r="A37" t="str">
        <f>"141720230226121957340277"</f>
        <v>141720230226121957340277</v>
      </c>
      <c r="B37" t="s">
        <v>44</v>
      </c>
      <c r="C37" t="str">
        <f>"郑姗姗"</f>
        <v>郑姗姗</v>
      </c>
      <c r="D37" t="str">
        <f t="shared" si="9"/>
        <v>女</v>
      </c>
      <c r="E37" t="str">
        <f>"1999-1-6"</f>
        <v>1999-1-6</v>
      </c>
      <c r="F37" t="str">
        <f>"安徽省滁州市"</f>
        <v>安徽省滁州市</v>
      </c>
      <c r="G37" t="str">
        <f t="shared" si="3"/>
        <v>汉族</v>
      </c>
      <c r="H37" t="str">
        <f>"群众"</f>
        <v>群众</v>
      </c>
      <c r="I37" t="str">
        <f>"341125199901065243"</f>
        <v>341125199901065243</v>
      </c>
      <c r="J37" t="str">
        <f t="shared" si="10"/>
        <v>未婚</v>
      </c>
      <c r="K37" t="str">
        <f>"本科"</f>
        <v>本科</v>
      </c>
      <c r="L37" t="str">
        <f>"无"</f>
        <v>无</v>
      </c>
      <c r="M37" t="str">
        <f t="shared" si="13"/>
        <v>学前教育</v>
      </c>
      <c r="N37" t="str">
        <f>"安徽师范大学"</f>
        <v>安徽师范大学</v>
      </c>
      <c r="O37" t="str">
        <f>"2022-7-1"</f>
        <v>2022-7-1</v>
      </c>
      <c r="P37" t="str">
        <f>"大专"</f>
        <v>大专</v>
      </c>
      <c r="Q37" t="str">
        <f>"大专"</f>
        <v>大专</v>
      </c>
      <c r="R37" t="str">
        <f t="shared" si="7"/>
        <v>学前教育</v>
      </c>
      <c r="S37" t="str">
        <f>"合肥师范学院"</f>
        <v>合肥师范学院</v>
      </c>
      <c r="T37" t="str">
        <f>"2018-7-1"</f>
        <v>2018-7-1</v>
      </c>
      <c r="U37" t="str">
        <f>"幼儿园教师资格证"</f>
        <v>幼儿园教师资格证</v>
      </c>
      <c r="V37" t="str">
        <f>"2018.5-至今"</f>
        <v>2018.5-至今</v>
      </c>
      <c r="W37" t="str">
        <f>"三级"</f>
        <v>三级</v>
      </c>
      <c r="X37" t="str">
        <f>"否"</f>
        <v>否</v>
      </c>
      <c r="Y37" t="str">
        <f>"合肥锦绣嘉苑幼儿园"</f>
        <v>合肥锦绣嘉苑幼儿园</v>
      </c>
      <c r="Z37" t="str">
        <f>"18055056132"</f>
        <v>18055056132</v>
      </c>
      <c r="AA37" t="str">
        <f>"合肥锦绣嘉苑"</f>
        <v>合肥锦绣嘉苑</v>
      </c>
      <c r="AB37" s="1" t="str">
        <f>"2013.9.1-2018.7.8  合肥师范学院 学生 
2018.5.6 至今    合肥锦绣嘉苑幼儿园 教师  
2020.3-2022.7   安徽师范大学 函授"</f>
        <v>2013.9.1-2018.7.8  合肥师范学院 学生 
2018.5.6 至今    合肥锦绣嘉苑幼儿园 教师  
2020.3-2022.7   安徽师范大学 函授</v>
      </c>
      <c r="AC37" t="str">
        <f>"第四届中华经典诵读“笔墨中国”汉字书写大赛瑶海区选拔赛中，荣获教师组 三等奖"</f>
        <v>第四届中华经典诵读“笔墨中国”汉字书写大赛瑶海区选拔赛中，荣获教师组 三等奖</v>
      </c>
      <c r="AD37" t="str">
        <f>"绘画 跳舞 读书"</f>
        <v>绘画 跳舞 读书</v>
      </c>
      <c r="AE37" t="str">
        <f>"父亲|郑继美|个体||母亲|单国琴|个体|||||"</f>
        <v>父亲|郑继美|个体||母亲|单国琴|个体|||||</v>
      </c>
      <c r="AF37" s="2">
        <v>44985.48002314815</v>
      </c>
      <c r="AG37">
        <v>1</v>
      </c>
      <c r="AH37">
        <v>1</v>
      </c>
      <c r="AI37">
        <v>0</v>
      </c>
      <c r="AJ37" t="s">
        <v>78</v>
      </c>
      <c r="AK37" s="4">
        <v>72.1</v>
      </c>
      <c r="AL37" s="4">
        <v>60.3</v>
      </c>
      <c r="AM37" s="4">
        <v>66.19999999999999</v>
      </c>
      <c r="AN37">
        <v>0</v>
      </c>
    </row>
    <row r="38" spans="1:40" ht="18" customHeight="1">
      <c r="A38" t="str">
        <f>"141720230226122743340279"</f>
        <v>141720230226122743340279</v>
      </c>
      <c r="B38" t="s">
        <v>44</v>
      </c>
      <c r="C38" t="str">
        <f>"惠业"</f>
        <v>惠业</v>
      </c>
      <c r="D38" t="str">
        <f t="shared" si="9"/>
        <v>女</v>
      </c>
      <c r="E38" t="str">
        <f>"1998-2"</f>
        <v>1998-2</v>
      </c>
      <c r="F38" t="str">
        <f>"安徽省肥西县"</f>
        <v>安徽省肥西县</v>
      </c>
      <c r="G38" t="str">
        <f t="shared" si="3"/>
        <v>汉族</v>
      </c>
      <c r="H38" t="str">
        <f aca="true" t="shared" si="14" ref="H38:H45">"共青团员"</f>
        <v>共青团员</v>
      </c>
      <c r="I38" t="str">
        <f>"340122199802150928"</f>
        <v>340122199802150928</v>
      </c>
      <c r="J38" t="str">
        <f t="shared" si="10"/>
        <v>未婚</v>
      </c>
      <c r="K38" t="str">
        <f>"大专"</f>
        <v>大专</v>
      </c>
      <c r="L38" t="str">
        <f>"无"</f>
        <v>无</v>
      </c>
      <c r="M38" t="str">
        <f t="shared" si="13"/>
        <v>学前教育</v>
      </c>
      <c r="N38" t="str">
        <f>"安徽师范大学"</f>
        <v>安徽师范大学</v>
      </c>
      <c r="O38" t="str">
        <f>"2021/07/01"</f>
        <v>2021/07/01</v>
      </c>
      <c r="P38" t="str">
        <f>"中专"</f>
        <v>中专</v>
      </c>
      <c r="Q38" t="str">
        <f>"无"</f>
        <v>无</v>
      </c>
      <c r="R38" t="str">
        <f t="shared" si="7"/>
        <v>学前教育</v>
      </c>
      <c r="S38" t="str">
        <f>"肥西师范学院"</f>
        <v>肥西师范学院</v>
      </c>
      <c r="T38" t="str">
        <f>"2016/6/20"</f>
        <v>2016/6/20</v>
      </c>
      <c r="U38" t="str">
        <f>"幼儿教师资格证书，普通话二级甲等证书，国际标准舞初级教师资格证书"</f>
        <v>幼儿教师资格证书，普通话二级甲等证书，国际标准舞初级教师资格证书</v>
      </c>
      <c r="V38" t="str">
        <f>"2年"</f>
        <v>2年</v>
      </c>
      <c r="W38" t="str">
        <f>"无"</f>
        <v>无</v>
      </c>
      <c r="X38" t="str">
        <f aca="true" t="shared" si="15" ref="X38:X67">"是"</f>
        <v>是</v>
      </c>
      <c r="Y38" t="str">
        <f>"联宝科技有限公司"</f>
        <v>联宝科技有限公司</v>
      </c>
      <c r="Z38" t="str">
        <f>"18556511671"</f>
        <v>18556511671</v>
      </c>
      <c r="AA38" t="str">
        <f>"安徽省合肥市肥西县"</f>
        <v>安徽省合肥市肥西县</v>
      </c>
      <c r="AB38" s="1" t="str">
        <f>"2013.9-2016.7肥西师范学院学生；
2016.9-2018.11为合肥能量娃幼儿教师；
2019.3-2021.7为安徽师范大学继续教育学院（函授）学生
2019.12-至今为联宝科技有限公司数据分析员
"</f>
        <v>2013.9-2016.7肥西师范学院学生；
2016.9-2018.11为合肥能量娃幼儿教师；
2019.3-2021.7为安徽师范大学继续教育学院（函授）学生
2019.12-至今为联宝科技有限公司数据分析员
</v>
      </c>
      <c r="AC38" s="1" t="str">
        <f>"肥西师范学院期间荣获优秀班干称号；
合肥能量娃幼儿教师任职期间荣获优秀班主任称号，参加合肥市级技能大赛荣获三等奖；联宝科技有限公司任职期间荣获两次优秀员工称号；参加合肥“薪火相传”国际标准舞荣获女单二等奖；"</f>
        <v>肥西师范学院期间荣获优秀班干称号；
合肥能量娃幼儿教师任职期间荣获优秀班主任称号，参加合肥市级技能大赛荣获三等奖；联宝科技有限公司任职期间荣获两次优秀员工称号；参加合肥“薪火相传”国际标准舞荣获女单二等奖；</v>
      </c>
      <c r="AD38" t="str">
        <f>"热爱并擅长舞蹈，动手能强，喜欢书法"</f>
        <v>热爱并擅长舞蹈，动手能强，喜欢书法</v>
      </c>
      <c r="AE38" t="str">
        <f>"父女|惠明海|无|司机|母女|沈瑞云|无|务农||||"</f>
        <v>父女|惠明海|无|司机|母女|沈瑞云|无|务农||||</v>
      </c>
      <c r="AF38" s="2">
        <v>44986.37211805556</v>
      </c>
      <c r="AG38">
        <v>1</v>
      </c>
      <c r="AH38">
        <v>1</v>
      </c>
      <c r="AI38">
        <v>0</v>
      </c>
      <c r="AJ38" t="s">
        <v>79</v>
      </c>
      <c r="AK38" s="4">
        <v>50.7</v>
      </c>
      <c r="AL38" s="4">
        <v>51.5</v>
      </c>
      <c r="AM38" s="4">
        <v>51.1</v>
      </c>
      <c r="AN38">
        <v>0</v>
      </c>
    </row>
    <row r="39" spans="1:40" ht="18" customHeight="1">
      <c r="A39" t="str">
        <f>"141720230226124844340285"</f>
        <v>141720230226124844340285</v>
      </c>
      <c r="B39" t="s">
        <v>44</v>
      </c>
      <c r="C39" t="str">
        <f>"方雪儿"</f>
        <v>方雪儿</v>
      </c>
      <c r="D39" t="str">
        <f t="shared" si="9"/>
        <v>女</v>
      </c>
      <c r="E39" t="str">
        <f>"1999-1"</f>
        <v>1999-1</v>
      </c>
      <c r="F39" t="str">
        <f>"安徽巢湖"</f>
        <v>安徽巢湖</v>
      </c>
      <c r="G39" t="str">
        <f t="shared" si="3"/>
        <v>汉族</v>
      </c>
      <c r="H39" t="str">
        <f t="shared" si="14"/>
        <v>共青团员</v>
      </c>
      <c r="I39" t="str">
        <f>"340121199901106184"</f>
        <v>340121199901106184</v>
      </c>
      <c r="J39" t="str">
        <f t="shared" si="10"/>
        <v>未婚</v>
      </c>
      <c r="K39" t="str">
        <f>"本科"</f>
        <v>本科</v>
      </c>
      <c r="L39" t="str">
        <f>"学士"</f>
        <v>学士</v>
      </c>
      <c r="M39" t="str">
        <f t="shared" si="13"/>
        <v>学前教育</v>
      </c>
      <c r="N39" t="str">
        <f>"巢湖学院"</f>
        <v>巢湖学院</v>
      </c>
      <c r="O39" t="str">
        <f>"2023.7"</f>
        <v>2023.7</v>
      </c>
      <c r="P39" t="str">
        <f>"本科"</f>
        <v>本科</v>
      </c>
      <c r="Q39" t="str">
        <f>"学士"</f>
        <v>学士</v>
      </c>
      <c r="R39" t="str">
        <f t="shared" si="7"/>
        <v>学前教育</v>
      </c>
      <c r="S39" t="str">
        <f>"巢湖学院"</f>
        <v>巢湖学院</v>
      </c>
      <c r="T39" t="str">
        <f>"2023.7"</f>
        <v>2023.7</v>
      </c>
      <c r="U39" t="str">
        <f>"幼儿教师资格证"</f>
        <v>幼儿教师资格证</v>
      </c>
      <c r="V39" t="str">
        <f>"无"</f>
        <v>无</v>
      </c>
      <c r="W39" t="str">
        <f>"无"</f>
        <v>无</v>
      </c>
      <c r="X39" t="str">
        <f t="shared" si="15"/>
        <v>是</v>
      </c>
      <c r="Y39" t="str">
        <f>"无"</f>
        <v>无</v>
      </c>
      <c r="Z39" t="str">
        <f>"18226611067"</f>
        <v>18226611067</v>
      </c>
      <c r="AA39" t="str">
        <f>"安徽省长丰县"</f>
        <v>安徽省长丰县</v>
      </c>
      <c r="AB39" t="str">
        <f>"2014.9-2017.6 下塘中学 学生；2018.9-2020.7 安徽城市管理职业学院 学生；2021.9-2023.7 巢湖学院 学生"</f>
        <v>2014.9-2017.6 下塘中学 学生；2018.9-2020.7 安徽城市管理职业学院 学生；2021.9-2023.7 巢湖学院 学生</v>
      </c>
      <c r="AC39" t="str">
        <f>"无"</f>
        <v>无</v>
      </c>
      <c r="AD39" t="str">
        <f>"书法"</f>
        <v>书法</v>
      </c>
      <c r="AE39" t="str">
        <f>"父女|方晓宇|无|务农|母女|吴利|无|务农|姐弟|方天笑|合肥理工学校|学生"</f>
        <v>父女|方晓宇|无|务农|母女|吴利|无|务农|姐弟|方天笑|合肥理工学校|学生</v>
      </c>
      <c r="AF39" s="2">
        <v>44984.45476851852</v>
      </c>
      <c r="AG39">
        <v>1</v>
      </c>
      <c r="AH39">
        <v>1</v>
      </c>
      <c r="AI39">
        <v>0</v>
      </c>
      <c r="AJ39" t="s">
        <v>80</v>
      </c>
      <c r="AK39" s="4">
        <v>76.3</v>
      </c>
      <c r="AL39" s="4">
        <v>67.4</v>
      </c>
      <c r="AM39" s="4">
        <v>71.85</v>
      </c>
      <c r="AN39">
        <v>0</v>
      </c>
    </row>
    <row r="40" spans="1:40" ht="18" customHeight="1">
      <c r="A40" t="str">
        <f>"141720230226135116340294"</f>
        <v>141720230226135116340294</v>
      </c>
      <c r="B40" t="s">
        <v>44</v>
      </c>
      <c r="C40" t="str">
        <f>"吴莹莹"</f>
        <v>吴莹莹</v>
      </c>
      <c r="D40" t="str">
        <f t="shared" si="9"/>
        <v>女</v>
      </c>
      <c r="E40" t="str">
        <f>"1998年2月28日"</f>
        <v>1998年2月28日</v>
      </c>
      <c r="F40" t="str">
        <f>"安徽省铜陵市枞阳县岩前村"</f>
        <v>安徽省铜陵市枞阳县岩前村</v>
      </c>
      <c r="G40" t="str">
        <f aca="true" t="shared" si="16" ref="G40:G71">"汉族"</f>
        <v>汉族</v>
      </c>
      <c r="H40" t="str">
        <f t="shared" si="14"/>
        <v>共青团员</v>
      </c>
      <c r="I40" t="str">
        <f>"340823199802283522"</f>
        <v>340823199802283522</v>
      </c>
      <c r="J40" t="str">
        <f t="shared" si="10"/>
        <v>未婚</v>
      </c>
      <c r="K40" t="str">
        <f>"本科"</f>
        <v>本科</v>
      </c>
      <c r="L40" t="str">
        <f>"学士"</f>
        <v>学士</v>
      </c>
      <c r="M40" t="str">
        <f t="shared" si="13"/>
        <v>学前教育</v>
      </c>
      <c r="N40" t="str">
        <f>"巢湖学院"</f>
        <v>巢湖学院</v>
      </c>
      <c r="O40" t="str">
        <f>"2021年7月1日"</f>
        <v>2021年7月1日</v>
      </c>
      <c r="P40" t="str">
        <f>"本科"</f>
        <v>本科</v>
      </c>
      <c r="Q40" t="str">
        <f>"学士"</f>
        <v>学士</v>
      </c>
      <c r="R40" t="str">
        <f t="shared" si="7"/>
        <v>学前教育</v>
      </c>
      <c r="S40" t="str">
        <f>"巢湖学院"</f>
        <v>巢湖学院</v>
      </c>
      <c r="T40" t="str">
        <f>"2021年7月1日"</f>
        <v>2021年7月1日</v>
      </c>
      <c r="U40" t="str">
        <f>"幼儿教师资格证"</f>
        <v>幼儿教师资格证</v>
      </c>
      <c r="V40" t="str">
        <f>"2年"</f>
        <v>2年</v>
      </c>
      <c r="W40" t="str">
        <f>"无"</f>
        <v>无</v>
      </c>
      <c r="X40" t="str">
        <f t="shared" si="15"/>
        <v>是</v>
      </c>
      <c r="Y40" t="str">
        <f>"金斗路幼儿园"</f>
        <v>金斗路幼儿园</v>
      </c>
      <c r="Z40" t="str">
        <f>"15056925835"</f>
        <v>15056925835</v>
      </c>
      <c r="AA40" t="str">
        <f>"经济开发区南湖春城56栋"</f>
        <v>经济开发区南湖春城56栋</v>
      </c>
      <c r="AB40" s="1" t="str">
        <f>"2013.9-2016.7合肥市第十中学 学生
2016.9-2017.7陶春湖学校 学生
2017.9-2021.7巢湖学院 学生
2021.9-2022.7林旭幼儿园 实习教师
2022.8-2023.7金斗路幼儿园 幼儿教师"</f>
        <v>2013.9-2016.7合肥市第十中学 学生
2016.9-2017.7陶春湖学校 学生
2017.9-2021.7巢湖学院 学生
2021.9-2022.7林旭幼儿园 实习教师
2022.8-2023.7金斗路幼儿园 幼儿教师</v>
      </c>
      <c r="AC40" t="str">
        <f>"无"</f>
        <v>无</v>
      </c>
      <c r="AD40" t="str">
        <f>"无"</f>
        <v>无</v>
      </c>
      <c r="AE40" t="str">
        <f>"母女|吴友云|自由职业||父女|吴文平|自由职业|||||"</f>
        <v>母女|吴友云|自由职业||父女|吴文平|自由职业|||||</v>
      </c>
      <c r="AF40" s="2">
        <v>44984.454375</v>
      </c>
      <c r="AG40">
        <v>1</v>
      </c>
      <c r="AH40">
        <v>1</v>
      </c>
      <c r="AI40">
        <v>0</v>
      </c>
      <c r="AJ40" t="s">
        <v>81</v>
      </c>
      <c r="AK40" s="4" t="s">
        <v>264</v>
      </c>
      <c r="AL40" s="4" t="s">
        <v>264</v>
      </c>
      <c r="AM40" s="4" t="s">
        <v>264</v>
      </c>
      <c r="AN40">
        <v>0</v>
      </c>
    </row>
    <row r="41" spans="1:40" ht="18" customHeight="1">
      <c r="A41" t="str">
        <f>"141720230226140504340296"</f>
        <v>141720230226140504340296</v>
      </c>
      <c r="B41" t="s">
        <v>44</v>
      </c>
      <c r="C41" t="str">
        <f>"王翠文"</f>
        <v>王翠文</v>
      </c>
      <c r="D41" t="str">
        <f t="shared" si="9"/>
        <v>女</v>
      </c>
      <c r="E41" t="str">
        <f>"1997.10"</f>
        <v>1997.10</v>
      </c>
      <c r="F41" t="str">
        <f>"安徽省阜阳市太和县"</f>
        <v>安徽省阜阳市太和县</v>
      </c>
      <c r="G41" t="str">
        <f t="shared" si="16"/>
        <v>汉族</v>
      </c>
      <c r="H41" t="str">
        <f t="shared" si="14"/>
        <v>共青团员</v>
      </c>
      <c r="I41" t="str">
        <f>"34122219971010682X"</f>
        <v>34122219971010682X</v>
      </c>
      <c r="J41" t="str">
        <f t="shared" si="10"/>
        <v>未婚</v>
      </c>
      <c r="K41" t="str">
        <f>"本科"</f>
        <v>本科</v>
      </c>
      <c r="L41" t="str">
        <f>"无"</f>
        <v>无</v>
      </c>
      <c r="M41" t="str">
        <f t="shared" si="13"/>
        <v>学前教育</v>
      </c>
      <c r="N41" t="str">
        <f>"安徽师范大学"</f>
        <v>安徽师范大学</v>
      </c>
      <c r="O41" t="str">
        <f>"2019.6"</f>
        <v>2019.6</v>
      </c>
      <c r="P41" t="str">
        <f>"大专"</f>
        <v>大专</v>
      </c>
      <c r="Q41" t="str">
        <f>"无"</f>
        <v>无</v>
      </c>
      <c r="R41" t="str">
        <f t="shared" si="7"/>
        <v>学前教育</v>
      </c>
      <c r="S41" t="str">
        <f>"亳州学院"</f>
        <v>亳州学院</v>
      </c>
      <c r="T41" t="str">
        <f>"2019.6"</f>
        <v>2019.6</v>
      </c>
      <c r="U41" t="str">
        <f>"幼儿园教师资格"</f>
        <v>幼儿园教师资格</v>
      </c>
      <c r="V41" t="str">
        <f>"3.5"</f>
        <v>3.5</v>
      </c>
      <c r="W41" t="str">
        <f>"三级教师"</f>
        <v>三级教师</v>
      </c>
      <c r="X41" t="str">
        <f t="shared" si="15"/>
        <v>是</v>
      </c>
      <c r="Y41" t="str">
        <f>"合肥温澜有限公司"</f>
        <v>合肥温澜有限公司</v>
      </c>
      <c r="Z41" t="str">
        <f>"18326778827"</f>
        <v>18326778827</v>
      </c>
      <c r="AA41" t="str">
        <f>"合肥市包河区望江东路"</f>
        <v>合肥市包河区望江东路</v>
      </c>
      <c r="AB41" s="1" t="str">
        <f>"2013.9-2016城郊中学 学生
2016.9-2019亳州学院 学生
2019-2022 合肥蜀山青秀城幼儿园 老师
2023合肥温澜有限公司
"</f>
        <v>2013.9-2016城郊中学 学生
2016.9-2019亳州学院 学生
2019-2022 合肥蜀山青秀城幼儿园 老师
2023合肥温澜有限公司
</v>
      </c>
      <c r="AC41" t="str">
        <f>"无"</f>
        <v>无</v>
      </c>
      <c r="AD41" t="str">
        <f>"唱歌 跳舞 弹琴 书法 阅读"</f>
        <v>唱歌 跳舞 弹琴 书法 阅读</v>
      </c>
      <c r="AE41" t="str">
        <f>"父女|王子彬|太和县|务农|母女|张凤侠|太和县|务农|王雨杰|姐弟|阜阳市|学生"</f>
        <v>父女|王子彬|太和县|务农|母女|张凤侠|太和县|务农|王雨杰|姐弟|阜阳市|学生</v>
      </c>
      <c r="AF41" s="2">
        <v>44986.37768518519</v>
      </c>
      <c r="AG41">
        <v>1</v>
      </c>
      <c r="AH41">
        <v>1</v>
      </c>
      <c r="AI41">
        <v>0</v>
      </c>
      <c r="AJ41" t="s">
        <v>82</v>
      </c>
      <c r="AK41" s="4">
        <v>64.5</v>
      </c>
      <c r="AL41" s="4">
        <v>69.5</v>
      </c>
      <c r="AM41" s="4">
        <v>67</v>
      </c>
      <c r="AN41">
        <v>0</v>
      </c>
    </row>
    <row r="42" spans="1:40" ht="18" customHeight="1">
      <c r="A42" t="str">
        <f>"141720230226142352340300"</f>
        <v>141720230226142352340300</v>
      </c>
      <c r="B42" t="s">
        <v>44</v>
      </c>
      <c r="C42" t="str">
        <f>"章雨欣"</f>
        <v>章雨欣</v>
      </c>
      <c r="D42" t="str">
        <f t="shared" si="9"/>
        <v>女</v>
      </c>
      <c r="E42" t="str">
        <f>"2001-02"</f>
        <v>2001-02</v>
      </c>
      <c r="F42" t="str">
        <f>"安徽六安"</f>
        <v>安徽六安</v>
      </c>
      <c r="G42" t="str">
        <f t="shared" si="16"/>
        <v>汉族</v>
      </c>
      <c r="H42" t="str">
        <f t="shared" si="14"/>
        <v>共青团员</v>
      </c>
      <c r="I42" t="str">
        <f>"342425200102178420"</f>
        <v>342425200102178420</v>
      </c>
      <c r="J42" t="str">
        <f t="shared" si="10"/>
        <v>未婚</v>
      </c>
      <c r="K42" t="str">
        <f>"本科"</f>
        <v>本科</v>
      </c>
      <c r="L42" t="str">
        <f>"学士学位"</f>
        <v>学士学位</v>
      </c>
      <c r="M42" t="str">
        <f t="shared" si="13"/>
        <v>学前教育</v>
      </c>
      <c r="N42" t="str">
        <f>"合肥师范学院"</f>
        <v>合肥师范学院</v>
      </c>
      <c r="O42" t="str">
        <f>"2023-07"</f>
        <v>2023-07</v>
      </c>
      <c r="P42" t="str">
        <f>"本科"</f>
        <v>本科</v>
      </c>
      <c r="Q42" t="str">
        <f>"学士学位"</f>
        <v>学士学位</v>
      </c>
      <c r="R42" t="str">
        <f t="shared" si="7"/>
        <v>学前教育</v>
      </c>
      <c r="S42" t="str">
        <f>"合肥师范学院"</f>
        <v>合肥师范学院</v>
      </c>
      <c r="T42" t="str">
        <f>"2023-07"</f>
        <v>2023-07</v>
      </c>
      <c r="U42" t="str">
        <f>"幼儿教师资格证书、小学数学教师资格证书、普通话二甲证书"</f>
        <v>幼儿教师资格证书、小学数学教师资格证书、普通话二甲证书</v>
      </c>
      <c r="V42" t="str">
        <f>"无"</f>
        <v>无</v>
      </c>
      <c r="W42" t="str">
        <f>"无"</f>
        <v>无</v>
      </c>
      <c r="X42" t="str">
        <f t="shared" si="15"/>
        <v>是</v>
      </c>
      <c r="Y42" t="str">
        <f>"无"</f>
        <v>无</v>
      </c>
      <c r="Z42" t="str">
        <f>"15055966300"</f>
        <v>15055966300</v>
      </c>
      <c r="AA42" t="str">
        <f>"合肥师范学院"</f>
        <v>合肥师范学院</v>
      </c>
      <c r="AB42" s="1" t="str">
        <f>"2016.9-2019.6 舒城中学 学生；
2019.9-2023.7 合肥师范学院 学生。"</f>
        <v>2016.9-2019.6 舒城中学 学生；
2019.9-2023.7 合肥师范学院 学生。</v>
      </c>
      <c r="AC42" s="1" t="str">
        <f>"校级“我与祖国共成长vlog”大赛二等奖；
校2022年科技文化艺术节活动优秀奖。"</f>
        <v>校级“我与祖国共成长vlog”大赛二等奖；
校2022年科技文化艺术节活动优秀奖。</v>
      </c>
      <c r="AD42" t="str">
        <f>"羽毛球、轮滑、手工。"</f>
        <v>羽毛球、轮滑、手工。</v>
      </c>
      <c r="AE42" t="str">
        <f>"父女|章兴四|无|装修工|母女|任少芳|东超科技有限公司|普工||||"</f>
        <v>父女|章兴四|无|装修工|母女|任少芳|东超科技有限公司|普工||||</v>
      </c>
      <c r="AF42" s="2">
        <v>44984.46188657408</v>
      </c>
      <c r="AG42">
        <v>1</v>
      </c>
      <c r="AH42">
        <v>1</v>
      </c>
      <c r="AI42">
        <v>0</v>
      </c>
      <c r="AJ42" t="s">
        <v>83</v>
      </c>
      <c r="AK42" s="4" t="s">
        <v>264</v>
      </c>
      <c r="AL42" s="4" t="s">
        <v>264</v>
      </c>
      <c r="AM42" s="4" t="s">
        <v>264</v>
      </c>
      <c r="AN42">
        <v>0</v>
      </c>
    </row>
    <row r="43" spans="1:40" ht="18" customHeight="1">
      <c r="A43" t="str">
        <f>"141720230226143122340302"</f>
        <v>141720230226143122340302</v>
      </c>
      <c r="B43" t="s">
        <v>44</v>
      </c>
      <c r="C43" t="str">
        <f>"李倩南"</f>
        <v>李倩南</v>
      </c>
      <c r="D43" t="str">
        <f t="shared" si="9"/>
        <v>女</v>
      </c>
      <c r="E43" t="str">
        <f>"1994-11"</f>
        <v>1994-11</v>
      </c>
      <c r="F43" t="str">
        <f>"安徽安庆"</f>
        <v>安徽安庆</v>
      </c>
      <c r="G43" t="str">
        <f t="shared" si="16"/>
        <v>汉族</v>
      </c>
      <c r="H43" t="str">
        <f t="shared" si="14"/>
        <v>共青团员</v>
      </c>
      <c r="I43" t="str">
        <f>"340826199411240321"</f>
        <v>340826199411240321</v>
      </c>
      <c r="J43" t="str">
        <f>"已婚"</f>
        <v>已婚</v>
      </c>
      <c r="K43" t="str">
        <f>"大专"</f>
        <v>大专</v>
      </c>
      <c r="L43" t="str">
        <f>"无"</f>
        <v>无</v>
      </c>
      <c r="M43" t="str">
        <f t="shared" si="13"/>
        <v>学前教育</v>
      </c>
      <c r="N43" t="str">
        <f>"淮北师范大学"</f>
        <v>淮北师范大学</v>
      </c>
      <c r="O43" t="str">
        <f>"2016"</f>
        <v>2016</v>
      </c>
      <c r="P43" t="str">
        <f>"中专"</f>
        <v>中专</v>
      </c>
      <c r="Q43" t="str">
        <f>"无"</f>
        <v>无</v>
      </c>
      <c r="R43" t="str">
        <f t="shared" si="7"/>
        <v>学前教育</v>
      </c>
      <c r="S43" t="str">
        <f>"合肥市通用技术学院"</f>
        <v>合肥市通用技术学院</v>
      </c>
      <c r="T43" t="str">
        <f>"2013"</f>
        <v>2013</v>
      </c>
      <c r="U43" t="str">
        <f>"教师资格证幼儿园"</f>
        <v>教师资格证幼儿园</v>
      </c>
      <c r="V43" t="str">
        <f>"2"</f>
        <v>2</v>
      </c>
      <c r="W43" t="str">
        <f aca="true" t="shared" si="17" ref="W43:W48">"无"</f>
        <v>无</v>
      </c>
      <c r="X43" t="str">
        <f t="shared" si="15"/>
        <v>是</v>
      </c>
      <c r="Y43" t="str">
        <f>"合肥市瑶海区静雅瑜伽工作室"</f>
        <v>合肥市瑶海区静雅瑜伽工作室</v>
      </c>
      <c r="Z43" t="str">
        <f>"13092530850"</f>
        <v>13092530850</v>
      </c>
      <c r="AA43" t="str">
        <f>"安徽合肥瑶海区油坊新城"</f>
        <v>安徽合肥瑶海区油坊新城</v>
      </c>
      <c r="AB43" s="1" t="str">
        <f>"2011-2013合肥市通用技术学校学生
2013-2016淮北师范大学学生
2017-2019国金黄金股份有限公司员工
2019-2021小海象科学教育 教育主管
2022年-2023年老乡鸡见习助理
20122年-至今合肥市瑶海区静雅瑜伽工作室负责人"</f>
        <v>2011-2013合肥市通用技术学校学生
2013-2016淮北师范大学学生
2017-2019国金黄金股份有限公司员工
2019-2021小海象科学教育 教育主管
2022年-2023年老乡鸡见习助理
20122年-至今合肥市瑶海区静雅瑜伽工作室负责人</v>
      </c>
      <c r="AC43" t="str">
        <f>"无"</f>
        <v>无</v>
      </c>
      <c r="AD43" t="str">
        <f>"瑜伽"</f>
        <v>瑜伽</v>
      </c>
      <c r="AE43" t="str">
        <f>"老公|王兵|雨虹防水|渠道销售||||||||"</f>
        <v>老公|王兵|雨虹防水|渠道销售||||||||</v>
      </c>
      <c r="AF43" s="2">
        <v>44984.54729166667</v>
      </c>
      <c r="AG43">
        <v>1</v>
      </c>
      <c r="AH43">
        <v>1</v>
      </c>
      <c r="AI43">
        <v>0</v>
      </c>
      <c r="AJ43" t="s">
        <v>84</v>
      </c>
      <c r="AK43" s="4">
        <v>61.3</v>
      </c>
      <c r="AL43" s="4">
        <v>61</v>
      </c>
      <c r="AM43" s="4">
        <v>61.15</v>
      </c>
      <c r="AN43">
        <v>0</v>
      </c>
    </row>
    <row r="44" spans="1:40" ht="18" customHeight="1">
      <c r="A44" t="str">
        <f>"141720230226143143340303"</f>
        <v>141720230226143143340303</v>
      </c>
      <c r="B44" t="s">
        <v>44</v>
      </c>
      <c r="C44" t="str">
        <f>"谢庆楠"</f>
        <v>谢庆楠</v>
      </c>
      <c r="D44" t="str">
        <f t="shared" si="9"/>
        <v>女</v>
      </c>
      <c r="E44" t="str">
        <f>"1999—10"</f>
        <v>1999—10</v>
      </c>
      <c r="F44" t="str">
        <f>"安徽省淮南市"</f>
        <v>安徽省淮南市</v>
      </c>
      <c r="G44" t="str">
        <f t="shared" si="16"/>
        <v>汉族</v>
      </c>
      <c r="H44" t="str">
        <f t="shared" si="14"/>
        <v>共青团员</v>
      </c>
      <c r="I44" t="str">
        <f>"34042119991008282X"</f>
        <v>34042119991008282X</v>
      </c>
      <c r="J44" t="str">
        <f>"未婚"</f>
        <v>未婚</v>
      </c>
      <c r="K44" t="str">
        <f>"本科"</f>
        <v>本科</v>
      </c>
      <c r="L44" t="str">
        <f>"学士学位"</f>
        <v>学士学位</v>
      </c>
      <c r="M44" t="str">
        <f>"学前教育（师范）"</f>
        <v>学前教育（师范）</v>
      </c>
      <c r="N44" t="str">
        <f>"安徽师范大学皖江学院"</f>
        <v>安徽师范大学皖江学院</v>
      </c>
      <c r="O44" t="str">
        <f>"2023-07"</f>
        <v>2023-07</v>
      </c>
      <c r="P44" t="str">
        <f>"本科"</f>
        <v>本科</v>
      </c>
      <c r="Q44" t="str">
        <f>"学士学位"</f>
        <v>学士学位</v>
      </c>
      <c r="R44" t="str">
        <f>"学前教育(师范）"</f>
        <v>学前教育(师范）</v>
      </c>
      <c r="S44" t="str">
        <f>"安徽师范大学皖江学院"</f>
        <v>安徽师范大学皖江学院</v>
      </c>
      <c r="T44" t="str">
        <f>"2023-07"</f>
        <v>2023-07</v>
      </c>
      <c r="U44" t="str">
        <f>"幼儿教师资格证，普通话二甲证，四级证书"</f>
        <v>幼儿教师资格证，普通话二甲证，四级证书</v>
      </c>
      <c r="V44" t="str">
        <f>"无"</f>
        <v>无</v>
      </c>
      <c r="W44" t="str">
        <f t="shared" si="17"/>
        <v>无</v>
      </c>
      <c r="X44" t="str">
        <f t="shared" si="15"/>
        <v>是</v>
      </c>
      <c r="Y44" t="str">
        <f>"无"</f>
        <v>无</v>
      </c>
      <c r="Z44" t="str">
        <f>"19965526270"</f>
        <v>19965526270</v>
      </c>
      <c r="AA44" t="str">
        <f>"安徽省淮南市凤台县朱马店镇徐桥村谢海子"</f>
        <v>安徽省淮南市凤台县朱马店镇徐桥村谢海子</v>
      </c>
      <c r="AB44" s="1" t="str">
        <f>"2015.09-2018.06淮南第二中学学生
2018.08-2019.06淮南第二中学学生
2019.09-至今安徽师范大学皖江学院学生"</f>
        <v>2015.09-2018.06淮南第二中学学生
2018.08-2019.06淮南第二中学学生
2019.09-至今安徽师范大学皖江学院学生</v>
      </c>
      <c r="AC44" s="1" t="str">
        <f>"2020-2021学年荣获安徽师范大学皖江学院奖学金单项奖“社会工作奖”
2021年荣获“优秀团学干部”
2022年获得中国大学生计算机设计大赛省级参赛证书
2021-2022学年荣获安徽师范大学皖江学院奖学金单项奖“文体活动奖”"</f>
        <v>2020-2021学年荣获安徽师范大学皖江学院奖学金单项奖“社会工作奖”
2021年荣获“优秀团学干部”
2022年获得中国大学生计算机设计大赛省级参赛证书
2021-2022学年荣获安徽师范大学皖江学院奖学金单项奖“文体活动奖”</v>
      </c>
      <c r="AD44" t="str">
        <f>"无"</f>
        <v>无</v>
      </c>
      <c r="AE44" t="str">
        <f>"母女|孙长芳|无|无||||||||"</f>
        <v>母女|孙长芳|无|无||||||||</v>
      </c>
      <c r="AF44" s="2">
        <v>44984.46716435185</v>
      </c>
      <c r="AG44">
        <v>1</v>
      </c>
      <c r="AH44">
        <v>1</v>
      </c>
      <c r="AI44">
        <v>0</v>
      </c>
      <c r="AJ44" t="s">
        <v>85</v>
      </c>
      <c r="AK44" s="4">
        <v>71.6</v>
      </c>
      <c r="AL44" s="4">
        <v>69.7</v>
      </c>
      <c r="AM44" s="4">
        <v>70.65</v>
      </c>
      <c r="AN44">
        <v>0</v>
      </c>
    </row>
    <row r="45" spans="1:40" ht="18" customHeight="1">
      <c r="A45" t="str">
        <f>"141720230226144039340306"</f>
        <v>141720230226144039340306</v>
      </c>
      <c r="B45" t="s">
        <v>44</v>
      </c>
      <c r="C45" t="str">
        <f>"项留青"</f>
        <v>项留青</v>
      </c>
      <c r="D45" t="str">
        <f t="shared" si="9"/>
        <v>女</v>
      </c>
      <c r="E45" t="str">
        <f>"1999-12"</f>
        <v>1999-12</v>
      </c>
      <c r="F45" t="str">
        <f>"安徽安庆市"</f>
        <v>安徽安庆市</v>
      </c>
      <c r="G45" t="str">
        <f t="shared" si="16"/>
        <v>汉族</v>
      </c>
      <c r="H45" t="str">
        <f t="shared" si="14"/>
        <v>共青团员</v>
      </c>
      <c r="I45" t="str">
        <f>"340826199912181067"</f>
        <v>340826199912181067</v>
      </c>
      <c r="J45" t="str">
        <f>"未婚"</f>
        <v>未婚</v>
      </c>
      <c r="K45" t="str">
        <f>"本科"</f>
        <v>本科</v>
      </c>
      <c r="L45" t="str">
        <f>"学士学位"</f>
        <v>学士学位</v>
      </c>
      <c r="M45" t="str">
        <f>"学前教育（师范）"</f>
        <v>学前教育（师范）</v>
      </c>
      <c r="N45" t="str">
        <f>"安徽师范大学皖江学院"</f>
        <v>安徽师范大学皖江学院</v>
      </c>
      <c r="O45" t="str">
        <f>"2023-07"</f>
        <v>2023-07</v>
      </c>
      <c r="P45" t="str">
        <f>"本科"</f>
        <v>本科</v>
      </c>
      <c r="Q45" t="str">
        <f>"学士学位"</f>
        <v>学士学位</v>
      </c>
      <c r="R45" t="str">
        <f>"学前教育（师范）"</f>
        <v>学前教育（师范）</v>
      </c>
      <c r="S45" t="str">
        <f>"安徽师范大学皖江学院"</f>
        <v>安徽师范大学皖江学院</v>
      </c>
      <c r="T45" t="str">
        <f>"2023-07"</f>
        <v>2023-07</v>
      </c>
      <c r="U45" t="str">
        <f>"普通话二甲  大学英语四级  幼儿园教师资格证"</f>
        <v>普通话二甲  大学英语四级  幼儿园教师资格证</v>
      </c>
      <c r="V45" t="str">
        <f>"无"</f>
        <v>无</v>
      </c>
      <c r="W45" t="str">
        <f t="shared" si="17"/>
        <v>无</v>
      </c>
      <c r="X45" t="str">
        <f t="shared" si="15"/>
        <v>是</v>
      </c>
      <c r="Y45" t="str">
        <f>"安徽师范大学皖江学院"</f>
        <v>安徽师范大学皖江学院</v>
      </c>
      <c r="Z45" t="str">
        <f>"18726099100"</f>
        <v>18726099100</v>
      </c>
      <c r="AA45" t="str">
        <f>"安徽省安庆市宿松县洲头乡洲头村"</f>
        <v>安徽省安庆市宿松县洲头乡洲头村</v>
      </c>
      <c r="AB45" s="1" t="str">
        <f>"2015.9-2018.6安庆市九姑中学学生
2018.9-2019.6安庆市程集中学学生
2019.9至今安徽师范大学皖江学院学生
"</f>
        <v>2015.9-2018.6安庆市九姑中学学生
2018.9-2019.6安庆市程集中学学生
2019.9至今安徽师范大学皖江学院学生
</v>
      </c>
      <c r="AC45" s="1" t="str">
        <f>"2021-2022学年荣获安徽师范大学皖江学院二等奖学金，并获得“三好学生”荣誉称号
2022年中国大学生计算机设计大赛安徽省级赛证书"</f>
        <v>2021-2022学年荣获安徽师范大学皖江学院二等奖学金，并获得“三好学生”荣誉称号
2022年中国大学生计算机设计大赛安徽省级赛证书</v>
      </c>
      <c r="AD45" t="str">
        <f>"无"</f>
        <v>无</v>
      </c>
      <c r="AE45" t="str">
        <f>"父女|项海州|无|无||||||||"</f>
        <v>父女|项海州|无|无||||||||</v>
      </c>
      <c r="AF45" s="2">
        <v>44984.466828703706</v>
      </c>
      <c r="AG45">
        <v>1</v>
      </c>
      <c r="AH45">
        <v>1</v>
      </c>
      <c r="AI45">
        <v>0</v>
      </c>
      <c r="AJ45" t="s">
        <v>86</v>
      </c>
      <c r="AK45" s="4">
        <v>74</v>
      </c>
      <c r="AL45" s="4">
        <v>66.3</v>
      </c>
      <c r="AM45" s="4">
        <v>70.15</v>
      </c>
      <c r="AN45">
        <v>0</v>
      </c>
    </row>
    <row r="46" spans="1:40" ht="18" customHeight="1">
      <c r="A46" t="str">
        <f>"141720230226145018340310"</f>
        <v>141720230226145018340310</v>
      </c>
      <c r="B46" t="s">
        <v>44</v>
      </c>
      <c r="C46" t="str">
        <f>"杨庆茹"</f>
        <v>杨庆茹</v>
      </c>
      <c r="D46" t="str">
        <f t="shared" si="9"/>
        <v>女</v>
      </c>
      <c r="E46" t="str">
        <f>"2001-10"</f>
        <v>2001-10</v>
      </c>
      <c r="F46" t="str">
        <f>"安徽肥东县"</f>
        <v>安徽肥东县</v>
      </c>
      <c r="G46" t="str">
        <f t="shared" si="16"/>
        <v>汉族</v>
      </c>
      <c r="H46" t="str">
        <f>"预备党员"</f>
        <v>预备党员</v>
      </c>
      <c r="I46" t="str">
        <f>"340123200110048561"</f>
        <v>340123200110048561</v>
      </c>
      <c r="J46" t="str">
        <f>"未婚"</f>
        <v>未婚</v>
      </c>
      <c r="K46" t="str">
        <f>"本科"</f>
        <v>本科</v>
      </c>
      <c r="L46" t="str">
        <f>"学士学位"</f>
        <v>学士学位</v>
      </c>
      <c r="M46" t="str">
        <f>"学前教育（师范）"</f>
        <v>学前教育（师范）</v>
      </c>
      <c r="N46" t="str">
        <f>"安徽师范大学皖江学院"</f>
        <v>安徽师范大学皖江学院</v>
      </c>
      <c r="O46" t="str">
        <f>"2023年7月"</f>
        <v>2023年7月</v>
      </c>
      <c r="P46" t="str">
        <f>"本科"</f>
        <v>本科</v>
      </c>
      <c r="Q46" t="str">
        <f>"学士学位"</f>
        <v>学士学位</v>
      </c>
      <c r="R46" t="str">
        <f>"学前教育（师范）"</f>
        <v>学前教育（师范）</v>
      </c>
      <c r="S46" t="str">
        <f>"安徽师范大学皖江学院"</f>
        <v>安徽师范大学皖江学院</v>
      </c>
      <c r="T46" t="str">
        <f>"2023年7月"</f>
        <v>2023年7月</v>
      </c>
      <c r="U46" t="str">
        <f>"幼儿园教师资格证书，普通话二甲证书，全国大学生四级证书"</f>
        <v>幼儿园教师资格证书，普通话二甲证书，全国大学生四级证书</v>
      </c>
      <c r="V46" t="str">
        <f>"无"</f>
        <v>无</v>
      </c>
      <c r="W46" t="str">
        <f t="shared" si="17"/>
        <v>无</v>
      </c>
      <c r="X46" t="str">
        <f t="shared" si="15"/>
        <v>是</v>
      </c>
      <c r="Y46" t="str">
        <f>"安徽师范大学皖江学院在读"</f>
        <v>安徽师范大学皖江学院在读</v>
      </c>
      <c r="Z46" t="str">
        <f>"15256295805"</f>
        <v>15256295805</v>
      </c>
      <c r="AA46" t="str">
        <f>"安徽省合肥市肥东县店埠镇斌峰御云府"</f>
        <v>安徽省合肥市肥东县店埠镇斌峰御云府</v>
      </c>
      <c r="AB46" s="1" t="str">
        <f>"2016.9-2019.6肥东县第二中学 学生；
2019.9-2023.7安徽师范大学皖江学院学生，团支部书记"</f>
        <v>2016.9-2019.6肥东县第二中学 学生；
2019.9-2023.7安徽师范大学皖江学院学生，团支部书记</v>
      </c>
      <c r="AC46" s="1" t="str">
        <f>"2019-2020年度、2020年-2021年度安徽师范大学皖江学院二等奖学金，“优秀学生干部”；
2020年安徽师范大学皖江学院学前教育系师范生技能竞赛三等奖：
2021年5月获得“优秀团学干部”称号；
2021-2022年获得院级三等奖学金。
"</f>
        <v>2019-2020年度、2020年-2021年度安徽师范大学皖江学院二等奖学金，“优秀学生干部”；
2020年安徽师范大学皖江学院学前教育系师范生技能竞赛三等奖：
2021年5月获得“优秀团学干部”称号；
2021-2022年获得院级三等奖学金。
</v>
      </c>
      <c r="AD46" t="str">
        <f>"无"</f>
        <v>无</v>
      </c>
      <c r="AE46" t="str">
        <f>"父女|杨庭文|务农|无|母女|袁莉霞|务农|无|姐弟|杨庆昌|安徽新华学院|学生"</f>
        <v>父女|杨庭文|务农|无|母女|袁莉霞|务农|无|姐弟|杨庆昌|安徽新华学院|学生</v>
      </c>
      <c r="AF46" s="2">
        <v>44984.397939814815</v>
      </c>
      <c r="AG46">
        <v>1</v>
      </c>
      <c r="AH46">
        <v>1</v>
      </c>
      <c r="AI46">
        <v>0</v>
      </c>
      <c r="AJ46" t="s">
        <v>87</v>
      </c>
      <c r="AK46" s="4">
        <v>75</v>
      </c>
      <c r="AL46" s="4">
        <v>67.8</v>
      </c>
      <c r="AM46" s="4">
        <v>71.4</v>
      </c>
      <c r="AN46">
        <v>0</v>
      </c>
    </row>
    <row r="47" spans="1:40" ht="18" customHeight="1">
      <c r="A47" t="str">
        <f>"141720230226145706340311"</f>
        <v>141720230226145706340311</v>
      </c>
      <c r="B47" t="s">
        <v>44</v>
      </c>
      <c r="C47" t="str">
        <f>"朱金凤"</f>
        <v>朱金凤</v>
      </c>
      <c r="D47" t="str">
        <f t="shared" si="9"/>
        <v>女</v>
      </c>
      <c r="E47" t="str">
        <f>"2000-08"</f>
        <v>2000-08</v>
      </c>
      <c r="F47" t="str">
        <f>"安徽合肥市巢湖市"</f>
        <v>安徽合肥市巢湖市</v>
      </c>
      <c r="G47" t="str">
        <f t="shared" si="16"/>
        <v>汉族</v>
      </c>
      <c r="H47" t="str">
        <f>"共青团员"</f>
        <v>共青团员</v>
      </c>
      <c r="I47" t="str">
        <f>"34260120000814622X"</f>
        <v>34260120000814622X</v>
      </c>
      <c r="J47" t="str">
        <f>"未婚"</f>
        <v>未婚</v>
      </c>
      <c r="K47" t="str">
        <f>"本科"</f>
        <v>本科</v>
      </c>
      <c r="L47" t="str">
        <f>"本科"</f>
        <v>本科</v>
      </c>
      <c r="M47" t="str">
        <f aca="true" t="shared" si="18" ref="M47:M61">"学前教育"</f>
        <v>学前教育</v>
      </c>
      <c r="N47" t="str">
        <f>"巢湖学院"</f>
        <v>巢湖学院</v>
      </c>
      <c r="O47" t="str">
        <f>"2023年6月"</f>
        <v>2023年6月</v>
      </c>
      <c r="P47" t="str">
        <f>"专科"</f>
        <v>专科</v>
      </c>
      <c r="Q47" t="str">
        <f>"无"</f>
        <v>无</v>
      </c>
      <c r="R47" t="str">
        <f>"学前教育"</f>
        <v>学前教育</v>
      </c>
      <c r="S47" t="str">
        <f>"合肥幼儿师范高等专科学校"</f>
        <v>合肥幼儿师范高等专科学校</v>
      </c>
      <c r="T47" t="str">
        <f>"2021年7月"</f>
        <v>2021年7月</v>
      </c>
      <c r="U47" t="str">
        <f>"幼儿园教师资格证"</f>
        <v>幼儿园教师资格证</v>
      </c>
      <c r="V47" t="str">
        <f>"半年"</f>
        <v>半年</v>
      </c>
      <c r="W47" t="str">
        <f t="shared" si="17"/>
        <v>无</v>
      </c>
      <c r="X47" t="str">
        <f t="shared" si="15"/>
        <v>是</v>
      </c>
      <c r="Y47" t="str">
        <f>"无"</f>
        <v>无</v>
      </c>
      <c r="Z47" t="str">
        <f>"13505651596"</f>
        <v>13505651596</v>
      </c>
      <c r="AA47" t="str">
        <f>"安徽省合肥市巢湖市天河街道巢庐路巢湖碧桂园"</f>
        <v>安徽省合肥市巢湖市天河街道巢庐路巢湖碧桂园</v>
      </c>
      <c r="AB47" s="1" t="str">
        <f>"2015.9-2018.6 巢湖市第一中学 学生
2018.9-2021.7 合肥幼儿师范高等专科学校
2021.9-2023.6 巢湖学院"</f>
        <v>2015.9-2018.6 巢湖市第一中学 学生
2018.9-2021.7 合肥幼儿师范高等专科学校
2021.9-2023.6 巢湖学院</v>
      </c>
      <c r="AC47" t="str">
        <f>"获得校二等奖学金、国家励志奖学金，优秀团员"</f>
        <v>获得校二等奖学金、国家励志奖学金，优秀团员</v>
      </c>
      <c r="AD47" t="str">
        <f>"绘画，书法"</f>
        <v>绘画，书法</v>
      </c>
      <c r="AE47" t="str">
        <f>"母女|苏冬梅|无|务工|父女|朱振东|无|务工||||"</f>
        <v>母女|苏冬梅|无|务工|父女|朱振东|无|务工||||</v>
      </c>
      <c r="AF47" s="2">
        <v>44984.463900462964</v>
      </c>
      <c r="AG47">
        <v>1</v>
      </c>
      <c r="AH47">
        <v>1</v>
      </c>
      <c r="AI47">
        <v>0</v>
      </c>
      <c r="AJ47" t="s">
        <v>88</v>
      </c>
      <c r="AK47" s="4">
        <v>79</v>
      </c>
      <c r="AL47" s="4">
        <v>78.5</v>
      </c>
      <c r="AM47" s="4">
        <v>78.75</v>
      </c>
      <c r="AN47">
        <v>0</v>
      </c>
    </row>
    <row r="48" spans="1:40" ht="18" customHeight="1">
      <c r="A48" t="str">
        <f>"141720230226150106340314"</f>
        <v>141720230226150106340314</v>
      </c>
      <c r="B48" t="s">
        <v>44</v>
      </c>
      <c r="C48" t="str">
        <f>"胡军娟"</f>
        <v>胡军娟</v>
      </c>
      <c r="D48" t="str">
        <f t="shared" si="9"/>
        <v>女</v>
      </c>
      <c r="E48" t="str">
        <f>"1995-10-27"</f>
        <v>1995-10-27</v>
      </c>
      <c r="F48" t="str">
        <f>"安徽省合肥市瑶海区"</f>
        <v>安徽省合肥市瑶海区</v>
      </c>
      <c r="G48" t="str">
        <f t="shared" si="16"/>
        <v>汉族</v>
      </c>
      <c r="H48" t="str">
        <f>"群众"</f>
        <v>群众</v>
      </c>
      <c r="I48" t="str">
        <f>"340302199510270421"</f>
        <v>340302199510270421</v>
      </c>
      <c r="J48" t="str">
        <f>"已婚"</f>
        <v>已婚</v>
      </c>
      <c r="K48" t="str">
        <f>"大专"</f>
        <v>大专</v>
      </c>
      <c r="L48" t="str">
        <f>"无"</f>
        <v>无</v>
      </c>
      <c r="M48" t="str">
        <f t="shared" si="18"/>
        <v>学前教育</v>
      </c>
      <c r="N48" t="str">
        <f>"合肥幼儿师范高等专科学校"</f>
        <v>合肥幼儿师范高等专科学校</v>
      </c>
      <c r="O48" t="str">
        <f>"2016年7月"</f>
        <v>2016年7月</v>
      </c>
      <c r="P48" t="str">
        <f>"大专"</f>
        <v>大专</v>
      </c>
      <c r="Q48" t="str">
        <f>"无"</f>
        <v>无</v>
      </c>
      <c r="R48" t="str">
        <f>"学前教育"</f>
        <v>学前教育</v>
      </c>
      <c r="S48" t="str">
        <f>"合肥幼儿师范高等专科学校"</f>
        <v>合肥幼儿师范高等专科学校</v>
      </c>
      <c r="T48" t="str">
        <f>"2016年7月"</f>
        <v>2016年7月</v>
      </c>
      <c r="U48" t="str">
        <f>"幼儿教师资格证、育婴师中级职业资格证、蒙台梭瑞教师结业证、普通话二级甲等、计算机一级、中国舞1-10"</f>
        <v>幼儿教师资格证、育婴师中级职业资格证、蒙台梭瑞教师结业证、普通话二级甲等、计算机一级、中国舞1-10</v>
      </c>
      <c r="V48" t="str">
        <f>"5年"</f>
        <v>5年</v>
      </c>
      <c r="W48" t="str">
        <f t="shared" si="17"/>
        <v>无</v>
      </c>
      <c r="X48" t="str">
        <f t="shared" si="15"/>
        <v>是</v>
      </c>
      <c r="Y48" t="str">
        <f>"合肥涵韵舞蹈咨询有限公司"</f>
        <v>合肥涵韵舞蹈咨询有限公司</v>
      </c>
      <c r="Z48" t="str">
        <f>"15956932196"</f>
        <v>15956932196</v>
      </c>
      <c r="AA48" t="str">
        <f>"安徽省合肥市瑶海区铁静苑"</f>
        <v>安徽省合肥市瑶海区铁静苑</v>
      </c>
      <c r="AB48" s="1" t="str">
        <f>"教育简历:
2011年9月 - 2016年7月 合肥幼儿师范高等专科学校学生
2021年2月   专升本    池州学院汉语言文学本科(今年7月毕业)
工作简历:
2016年9月-2017年7月 安大附属通和易居幼儿园 员工
2017年8月-2019年2月 史蒂芬森幼儿园 员工
2020年5月至今 合肥涵韵舞蹈咨询有限公司 员工"</f>
        <v>教育简历:
2011年9月 - 2016年7月 合肥幼儿师范高等专科学校学生
2021年2月   专升本    池州学院汉语言文学本科(今年7月毕业)
工作简历:
2016年9月-2017年7月 安大附属通和易居幼儿园 员工
2017年8月-2019年2月 史蒂芬森幼儿园 员工
2020年5月至今 合肥涵韵舞蹈咨询有限公司 员工</v>
      </c>
      <c r="AC48" s="1" t="str">
        <f>"在校期间：
2013年8月  13届 “星星河”美术书法摄影大赛中获“美术优秀奖”
2014年参与 社团荣获“优秀授课部部长”
2013-2014年美化寝室活动中获“优秀奖” 
2013-2014年度第一学期12月份以及第二学期3月份寝室卫生评为“文明寝室”
2013-2014  荣获进步奖学金
学校创编舞比赛中获“三等奖”"</f>
        <v>在校期间：
2013年8月  13届 “星星河”美术书法摄影大赛中获“美术优秀奖”
2014年参与 社团荣获“优秀授课部部长”
2013-2014年美化寝室活动中获“优秀奖” 
2013-2014年度第一学期12月份以及第二学期3月份寝室卫生评为“文明寝室”
2013-2014  荣获进步奖学金
学校创编舞比赛中获“三等奖”</v>
      </c>
      <c r="AD48" s="1" t="str">
        <f>"特长： 幼儿 儿童舞、 成人瑜伽
爱好： 手工"</f>
        <v>特长： 幼儿 儿童舞、 成人瑜伽
爱好： 手工</v>
      </c>
      <c r="AE48" t="str">
        <f>"夫妻|陈亚南|康宁汽车玻璃系统（合肥）有限公司|基层管理|女儿|陈忻愉||||||"</f>
        <v>夫妻|陈亚南|康宁汽车玻璃系统（合肥）有限公司|基层管理|女儿|陈忻愉||||||</v>
      </c>
      <c r="AF48" s="2">
        <v>44984.40079861111</v>
      </c>
      <c r="AG48">
        <v>1</v>
      </c>
      <c r="AH48">
        <v>1</v>
      </c>
      <c r="AI48">
        <v>0</v>
      </c>
      <c r="AJ48" t="s">
        <v>89</v>
      </c>
      <c r="AK48" s="4">
        <v>67.4</v>
      </c>
      <c r="AL48" s="4">
        <v>69.4</v>
      </c>
      <c r="AM48" s="4">
        <v>68.4</v>
      </c>
      <c r="AN48">
        <v>0</v>
      </c>
    </row>
    <row r="49" spans="1:40" ht="18" customHeight="1">
      <c r="A49" t="str">
        <f>"141720230226152147340316"</f>
        <v>141720230226152147340316</v>
      </c>
      <c r="B49" t="s">
        <v>44</v>
      </c>
      <c r="C49" t="str">
        <f>"杜月娟"</f>
        <v>杜月娟</v>
      </c>
      <c r="D49" t="str">
        <f t="shared" si="9"/>
        <v>女</v>
      </c>
      <c r="E49" t="str">
        <f>"2001-5"</f>
        <v>2001-5</v>
      </c>
      <c r="F49" t="str">
        <f>"安徽省合肥市"</f>
        <v>安徽省合肥市</v>
      </c>
      <c r="G49" t="str">
        <f t="shared" si="16"/>
        <v>汉族</v>
      </c>
      <c r="H49" t="str">
        <f>"群众"</f>
        <v>群众</v>
      </c>
      <c r="I49" t="str">
        <f>"340111200105286527"</f>
        <v>340111200105286527</v>
      </c>
      <c r="J49" t="str">
        <f>"未婚"</f>
        <v>未婚</v>
      </c>
      <c r="K49" t="str">
        <f>"大专"</f>
        <v>大专</v>
      </c>
      <c r="L49" t="str">
        <f>"大专"</f>
        <v>大专</v>
      </c>
      <c r="M49" t="str">
        <f t="shared" si="18"/>
        <v>学前教育</v>
      </c>
      <c r="N49" t="str">
        <f>"阜阳幼儿师范高等专科学校"</f>
        <v>阜阳幼儿师范高等专科学校</v>
      </c>
      <c r="O49" t="str">
        <f>"2022.7.10"</f>
        <v>2022.7.10</v>
      </c>
      <c r="P49" t="str">
        <f>"大专"</f>
        <v>大专</v>
      </c>
      <c r="Q49" t="str">
        <f>"大专"</f>
        <v>大专</v>
      </c>
      <c r="R49" t="str">
        <f>"学前教育"</f>
        <v>学前教育</v>
      </c>
      <c r="S49" t="str">
        <f>"阜阳幼儿师范高等专科学校"</f>
        <v>阜阳幼儿师范高等专科学校</v>
      </c>
      <c r="T49" t="str">
        <f>"2022.7.10"</f>
        <v>2022.7.10</v>
      </c>
      <c r="U49" t="str">
        <f>"幼儿教师资格证，普通话二甲，B级英语证书"</f>
        <v>幼儿教师资格证，普通话二甲，B级英语证书</v>
      </c>
      <c r="V49" t="str">
        <f>"小于一年"</f>
        <v>小于一年</v>
      </c>
      <c r="W49" t="str">
        <f>"学生"</f>
        <v>学生</v>
      </c>
      <c r="X49" t="str">
        <f t="shared" si="15"/>
        <v>是</v>
      </c>
      <c r="Y49" t="str">
        <f>"新年居委会"</f>
        <v>新年居委会</v>
      </c>
      <c r="Z49" t="str">
        <f>"18555150528"</f>
        <v>18555150528</v>
      </c>
      <c r="AA49" t="str">
        <f>"安徽省合肥市蜀山区紫云路99号江汽六村"</f>
        <v>安徽省合肥市蜀山区紫云路99号江汽六村</v>
      </c>
      <c r="AB49" s="1" t="str">
        <f>"2020.9-2022.7 在阜阳幼儿师范高等专科学校就读 学生
2022.10-至今  在新年居委会短暂实习  实习生"</f>
        <v>2020.9-2022.7 在阜阳幼儿师范高等专科学校就读 学生
2022.10-至今  在新年居委会短暂实习  实习生</v>
      </c>
      <c r="AC49" t="str">
        <f>"在学校社团获得优秀奖状"</f>
        <v>在学校社团获得优秀奖状</v>
      </c>
      <c r="AD49" t="str">
        <f>"读书，画画，听音乐"</f>
        <v>读书，画画，听音乐</v>
      </c>
      <c r="AE49" t="str">
        <f>"母亲|刘能芝|东古集团|销售|父亲|杜海燕|江淮汽车厂|工人||||"</f>
        <v>母亲|刘能芝|东古集团|销售|父亲|杜海燕|江淮汽车厂|工人||||</v>
      </c>
      <c r="AF49" s="2">
        <v>44984.46587962963</v>
      </c>
      <c r="AG49">
        <v>1</v>
      </c>
      <c r="AH49">
        <v>1</v>
      </c>
      <c r="AI49">
        <v>0</v>
      </c>
      <c r="AJ49" t="s">
        <v>90</v>
      </c>
      <c r="AK49" s="4">
        <v>70.9</v>
      </c>
      <c r="AL49" s="4">
        <v>65.5</v>
      </c>
      <c r="AM49" s="4">
        <v>68.2</v>
      </c>
      <c r="AN49">
        <v>0</v>
      </c>
    </row>
    <row r="50" spans="1:40" ht="18" customHeight="1">
      <c r="A50" t="str">
        <f>"141720230226152438340318"</f>
        <v>141720230226152438340318</v>
      </c>
      <c r="B50" t="s">
        <v>44</v>
      </c>
      <c r="C50" t="str">
        <f>"张雪如"</f>
        <v>张雪如</v>
      </c>
      <c r="D50" t="str">
        <f t="shared" si="9"/>
        <v>女</v>
      </c>
      <c r="E50" t="str">
        <f>"1994－3"</f>
        <v>1994－3</v>
      </c>
      <c r="F50" t="str">
        <f>"安徽肥东"</f>
        <v>安徽肥东</v>
      </c>
      <c r="G50" t="str">
        <f t="shared" si="16"/>
        <v>汉族</v>
      </c>
      <c r="H50" t="str">
        <f>"群众"</f>
        <v>群众</v>
      </c>
      <c r="I50" t="str">
        <f>"341204199403022025"</f>
        <v>341204199403022025</v>
      </c>
      <c r="J50" t="str">
        <f>"已婚"</f>
        <v>已婚</v>
      </c>
      <c r="K50" t="str">
        <f>"本科（函授）"</f>
        <v>本科（函授）</v>
      </c>
      <c r="L50" t="str">
        <f>"无"</f>
        <v>无</v>
      </c>
      <c r="M50" t="str">
        <f t="shared" si="18"/>
        <v>学前教育</v>
      </c>
      <c r="N50" t="str">
        <f>"安徽师范大学"</f>
        <v>安徽师范大学</v>
      </c>
      <c r="O50" t="str">
        <f>"2020－7"</f>
        <v>2020－7</v>
      </c>
      <c r="P50" t="str">
        <f>" 大专"</f>
        <v> 大专</v>
      </c>
      <c r="Q50" t="str">
        <f>"无"</f>
        <v>无</v>
      </c>
      <c r="R50" t="str">
        <f>"学前教育"</f>
        <v>学前教育</v>
      </c>
      <c r="S50" t="str">
        <f>"阜阳职业技术学院"</f>
        <v>阜阳职业技术学院</v>
      </c>
      <c r="T50" t="str">
        <f>"2017－7"</f>
        <v>2017－7</v>
      </c>
      <c r="U50" t="str">
        <f>"幼儿园教师资格证"</f>
        <v>幼儿园教师资格证</v>
      </c>
      <c r="V50" t="str">
        <f>"四年"</f>
        <v>四年</v>
      </c>
      <c r="W50" t="str">
        <f aca="true" t="shared" si="19" ref="W50:W58">"无"</f>
        <v>无</v>
      </c>
      <c r="X50" t="str">
        <f t="shared" si="15"/>
        <v>是</v>
      </c>
      <c r="Y50" t="str">
        <f>"香樟原著幼儿园"</f>
        <v>香樟原著幼儿园</v>
      </c>
      <c r="Z50" t="str">
        <f>"18356548980"</f>
        <v>18356548980</v>
      </c>
      <c r="AA50" t="str">
        <f>"安徽省合肥市新站区三十头镇天元新城"</f>
        <v>安徽省合肥市新站区三十头镇天元新城</v>
      </c>
      <c r="AB50" s="1" t="str">
        <f>"2012.9－2014.7中职 阜阳职业技术学院 2014.9－2017.7大专阜阳职业技术学院
2016.12－2018.7巴黎春天幼儿园  2018.9－2020.6东城广场幼儿园
2022.9－至今香樟原著幼儿园"</f>
        <v>2012.9－2014.7中职 阜阳职业技术学院 2014.9－2017.7大专阜阳职业技术学院
2016.12－2018.7巴黎春天幼儿园  2018.9－2020.6东城广场幼儿园
2022.9－至今香樟原著幼儿园</v>
      </c>
      <c r="AC50" t="str">
        <f>"无"</f>
        <v>无</v>
      </c>
      <c r="AD50" t="str">
        <f>"绘画"</f>
        <v>绘画</v>
      </c>
      <c r="AE50" t="str">
        <f>"丈夫|王建国|文一施工|施工员||||||||"</f>
        <v>丈夫|王建国|文一施工|施工员||||||||</v>
      </c>
      <c r="AF50" s="2">
        <v>44984.49886574074</v>
      </c>
      <c r="AG50">
        <v>1</v>
      </c>
      <c r="AH50">
        <v>1</v>
      </c>
      <c r="AI50">
        <v>0</v>
      </c>
      <c r="AJ50" t="s">
        <v>91</v>
      </c>
      <c r="AK50" s="4">
        <v>58.1</v>
      </c>
      <c r="AL50" s="4">
        <v>63.4</v>
      </c>
      <c r="AM50" s="4">
        <v>60.75</v>
      </c>
      <c r="AN50">
        <v>0</v>
      </c>
    </row>
    <row r="51" spans="1:40" ht="18" customHeight="1">
      <c r="A51" t="str">
        <f>"141720230226154055340321"</f>
        <v>141720230226154055340321</v>
      </c>
      <c r="B51" t="s">
        <v>44</v>
      </c>
      <c r="C51" t="str">
        <f>"张颖"</f>
        <v>张颖</v>
      </c>
      <c r="D51" t="str">
        <f t="shared" si="9"/>
        <v>女</v>
      </c>
      <c r="E51" t="str">
        <f>"2001-11"</f>
        <v>2001-11</v>
      </c>
      <c r="F51" t="str">
        <f>"安徽巢湖"</f>
        <v>安徽巢湖</v>
      </c>
      <c r="G51" t="str">
        <f t="shared" si="16"/>
        <v>汉族</v>
      </c>
      <c r="H51" t="str">
        <f>"共青团员"</f>
        <v>共青团员</v>
      </c>
      <c r="I51" t="str">
        <f>"342601200111027421"</f>
        <v>342601200111027421</v>
      </c>
      <c r="J51" t="str">
        <f>"未婚"</f>
        <v>未婚</v>
      </c>
      <c r="K51" t="str">
        <f>"专科"</f>
        <v>专科</v>
      </c>
      <c r="L51" t="str">
        <f>"无"</f>
        <v>无</v>
      </c>
      <c r="M51" t="str">
        <f t="shared" si="18"/>
        <v>学前教育</v>
      </c>
      <c r="N51" t="str">
        <f>"合肥幼儿师范高等专科学校"</f>
        <v>合肥幼儿师范高等专科学校</v>
      </c>
      <c r="O51" t="str">
        <f>"2022年6月30日"</f>
        <v>2022年6月30日</v>
      </c>
      <c r="P51" t="str">
        <f>"专科"</f>
        <v>专科</v>
      </c>
      <c r="Q51" t="str">
        <f>"无"</f>
        <v>无</v>
      </c>
      <c r="R51" t="str">
        <f>"学前教育"</f>
        <v>学前教育</v>
      </c>
      <c r="S51" t="str">
        <f>"合肥幼儿师范高等专科学校"</f>
        <v>合肥幼儿师范高等专科学校</v>
      </c>
      <c r="T51" t="str">
        <f>"2022年6月30日"</f>
        <v>2022年6月30日</v>
      </c>
      <c r="U51" t="str">
        <f>"幼儿教师资格证书"</f>
        <v>幼儿教师资格证书</v>
      </c>
      <c r="V51" t="str">
        <f>"实习一年"</f>
        <v>实习一年</v>
      </c>
      <c r="W51" t="str">
        <f t="shared" si="19"/>
        <v>无</v>
      </c>
      <c r="X51" t="str">
        <f t="shared" si="15"/>
        <v>是</v>
      </c>
      <c r="Y51" t="str">
        <f>"无"</f>
        <v>无</v>
      </c>
      <c r="Z51" t="str">
        <f>"18715653032"</f>
        <v>18715653032</v>
      </c>
      <c r="AA51" t="str">
        <f>"安徽省合肥市巢湖市黄麓镇"</f>
        <v>安徽省合肥市巢湖市黄麓镇</v>
      </c>
      <c r="AB51" s="1" t="str">
        <f>"2017.9-2020.6    黄麓师范  学生                                    
2020.9-2022.6    合肥幼儿师范高等专科学校  学生
2021.9-2022.10   合肥市菊园幼儿园"</f>
        <v>2017.9-2020.6    黄麓师范  学生                                    
2020.9-2022.6    合肥幼儿师范高等专科学校  学生
2021.9-2022.10   合肥市菊园幼儿园</v>
      </c>
      <c r="AC51" t="str">
        <f>"校内奖学金"</f>
        <v>校内奖学金</v>
      </c>
      <c r="AD51" t="str">
        <f>"无"</f>
        <v>无</v>
      </c>
      <c r="AE51" t="str">
        <f>"母亲|许晓琴|公安学院|宿管|父亲|张宏兵|务工|务工||||"</f>
        <v>母亲|许晓琴|公安学院|宿管|父亲|张宏兵|务工|务工||||</v>
      </c>
      <c r="AF51" s="2">
        <v>44984.48118055556</v>
      </c>
      <c r="AG51">
        <v>1</v>
      </c>
      <c r="AH51">
        <v>1</v>
      </c>
      <c r="AI51">
        <v>0</v>
      </c>
      <c r="AJ51" t="s">
        <v>92</v>
      </c>
      <c r="AK51" s="4">
        <v>64</v>
      </c>
      <c r="AL51" s="4">
        <v>57.1</v>
      </c>
      <c r="AM51" s="4">
        <v>60.55</v>
      </c>
      <c r="AN51">
        <v>0</v>
      </c>
    </row>
    <row r="52" spans="1:40" ht="18" customHeight="1">
      <c r="A52" t="str">
        <f>"141720230226154404340323"</f>
        <v>141720230226154404340323</v>
      </c>
      <c r="B52" t="s">
        <v>44</v>
      </c>
      <c r="C52" t="str">
        <f>"李春佼"</f>
        <v>李春佼</v>
      </c>
      <c r="D52" t="str">
        <f t="shared" si="9"/>
        <v>女</v>
      </c>
      <c r="E52" t="str">
        <f>"1997-7"</f>
        <v>1997-7</v>
      </c>
      <c r="F52" t="str">
        <f>"安徽宿州"</f>
        <v>安徽宿州</v>
      </c>
      <c r="G52" t="str">
        <f t="shared" si="16"/>
        <v>汉族</v>
      </c>
      <c r="H52" t="str">
        <f>"共青团员"</f>
        <v>共青团员</v>
      </c>
      <c r="I52" t="str">
        <f>"341321199707243021"</f>
        <v>341321199707243021</v>
      </c>
      <c r="J52" t="str">
        <f>"已婚"</f>
        <v>已婚</v>
      </c>
      <c r="K52" t="str">
        <f>"本科"</f>
        <v>本科</v>
      </c>
      <c r="L52" t="str">
        <f>"学士"</f>
        <v>学士</v>
      </c>
      <c r="M52" t="str">
        <f t="shared" si="18"/>
        <v>学前教育</v>
      </c>
      <c r="N52" t="str">
        <f>"黄山学院"</f>
        <v>黄山学院</v>
      </c>
      <c r="O52" t="str">
        <f>"2020-7"</f>
        <v>2020-7</v>
      </c>
      <c r="P52" t="str">
        <f>"专科"</f>
        <v>专科</v>
      </c>
      <c r="Q52" t="str">
        <f>"学士"</f>
        <v>学士</v>
      </c>
      <c r="R52" t="str">
        <f>"电子商务"</f>
        <v>电子商务</v>
      </c>
      <c r="S52" t="str">
        <f>"安徽财贸职业学院"</f>
        <v>安徽财贸职业学院</v>
      </c>
      <c r="T52" t="str">
        <f>"2018-7"</f>
        <v>2018-7</v>
      </c>
      <c r="U52" t="str">
        <f>"幼儿园教师资格证、小学数学教师资格证、二级甲等普通话证书"</f>
        <v>幼儿园教师资格证、小学数学教师资格证、二级甲等普通话证书</v>
      </c>
      <c r="V52" t="str">
        <f>"一年"</f>
        <v>一年</v>
      </c>
      <c r="W52" t="str">
        <f t="shared" si="19"/>
        <v>无</v>
      </c>
      <c r="X52" t="str">
        <f t="shared" si="15"/>
        <v>是</v>
      </c>
      <c r="Y52" t="str">
        <f>"无"</f>
        <v>无</v>
      </c>
      <c r="Z52" t="str">
        <f>"18715006386"</f>
        <v>18715006386</v>
      </c>
      <c r="AA52" t="str">
        <f>"安徽省合肥市瑶海区嘉山路街道大众时代之光"</f>
        <v>安徽省合肥市瑶海区嘉山路街道大众时代之光</v>
      </c>
      <c r="AB52" s="1" t="str">
        <f>"2015.9-2018.7 安徽财贸职业学院 学生；
2018.9-2020.7 黄山学院 学生；
2020.5-2021.7 安徽忠俊食品有限公司 员工；
2021.11-2022.7 精英新时代幼儿园 员工。"</f>
        <v>2015.9-2018.7 安徽财贸职业学院 学生；
2018.9-2020.7 黄山学院 学生；
2020.5-2021.7 安徽忠俊食品有限公司 员工；
2021.11-2022.7 精英新时代幼儿园 员工。</v>
      </c>
      <c r="AC52" t="str">
        <f>"荣获黄山学院2018-2019年度“优秀共青团员”称号"</f>
        <v>荣获黄山学院2018-2019年度“优秀共青团员”称号</v>
      </c>
      <c r="AD52" s="1" t="str">
        <f>"特长：硬笔书法；
爱好：阅读、绘画。"</f>
        <v>特长：硬笔书法；
爱好：阅读、绘画。</v>
      </c>
      <c r="AE52" t="str">
        <f>"父女|李凤敏|安徽宿州砀山县|务工|母女|刘雪英|安徽宿州砀山县|务工|兄妹|李肖肖|江苏苏州|个体户"</f>
        <v>父女|李凤敏|安徽宿州砀山县|务工|母女|刘雪英|安徽宿州砀山县|务工|兄妹|李肖肖|江苏苏州|个体户</v>
      </c>
      <c r="AF52" s="2">
        <v>44984.471550925926</v>
      </c>
      <c r="AG52">
        <v>1</v>
      </c>
      <c r="AH52">
        <v>1</v>
      </c>
      <c r="AI52">
        <v>0</v>
      </c>
      <c r="AJ52" t="s">
        <v>93</v>
      </c>
      <c r="AK52" s="4">
        <v>71.7</v>
      </c>
      <c r="AL52" s="4">
        <v>71.1</v>
      </c>
      <c r="AM52" s="4">
        <v>71.4</v>
      </c>
      <c r="AN52">
        <v>0</v>
      </c>
    </row>
    <row r="53" spans="1:40" ht="18" customHeight="1">
      <c r="A53" t="str">
        <f>"141720230226154511340324"</f>
        <v>141720230226154511340324</v>
      </c>
      <c r="B53" t="s">
        <v>44</v>
      </c>
      <c r="C53" t="str">
        <f>"王小静"</f>
        <v>王小静</v>
      </c>
      <c r="D53" t="str">
        <f t="shared" si="9"/>
        <v>女</v>
      </c>
      <c r="E53" t="str">
        <f>"1994.1"</f>
        <v>1994.1</v>
      </c>
      <c r="F53" t="str">
        <f>"安徽涡阳县"</f>
        <v>安徽涡阳县</v>
      </c>
      <c r="G53" t="str">
        <f t="shared" si="16"/>
        <v>汉族</v>
      </c>
      <c r="H53" t="str">
        <f>"共青团员"</f>
        <v>共青团员</v>
      </c>
      <c r="I53" t="str">
        <f>"341223199501170223"</f>
        <v>341223199501170223</v>
      </c>
      <c r="J53" t="str">
        <f>"已婚"</f>
        <v>已婚</v>
      </c>
      <c r="K53" t="str">
        <f>"专科"</f>
        <v>专科</v>
      </c>
      <c r="L53" t="str">
        <f>"无"</f>
        <v>无</v>
      </c>
      <c r="M53" t="str">
        <f t="shared" si="18"/>
        <v>学前教育</v>
      </c>
      <c r="N53" t="str">
        <f>"宿州学院"</f>
        <v>宿州学院</v>
      </c>
      <c r="O53" t="str">
        <f>"2014·7"</f>
        <v>2014·7</v>
      </c>
      <c r="P53" t="str">
        <f>"中专"</f>
        <v>中专</v>
      </c>
      <c r="Q53" t="str">
        <f>"学前教育"</f>
        <v>学前教育</v>
      </c>
      <c r="R53" t="str">
        <f>"学前教育"</f>
        <v>学前教育</v>
      </c>
      <c r="S53" t="str">
        <f>"亳州幼儿师范学校"</f>
        <v>亳州幼儿师范学校</v>
      </c>
      <c r="T53" t="str">
        <f>"2013·6"</f>
        <v>2013·6</v>
      </c>
      <c r="U53" t="str">
        <f>"幼儿园教师资格"</f>
        <v>幼儿园教师资格</v>
      </c>
      <c r="V53" t="str">
        <f>"5 年"</f>
        <v>5 年</v>
      </c>
      <c r="W53" t="str">
        <f t="shared" si="19"/>
        <v>无</v>
      </c>
      <c r="X53" t="str">
        <f t="shared" si="15"/>
        <v>是</v>
      </c>
      <c r="Y53" t="str">
        <f>"万象城红星幼儿园"</f>
        <v>万象城红星幼儿园</v>
      </c>
      <c r="Z53" t="str">
        <f>"17305671959"</f>
        <v>17305671959</v>
      </c>
      <c r="AA53" t="str">
        <f>"安徽省亳州市涡阳县城关街道工农路郝四巷 2 号"</f>
        <v>安徽省亳州市涡阳县城关街道工农路郝四巷 2 号</v>
      </c>
      <c r="AB53" s="1" t="str">
        <f>"2010.9—2013.7 亳州幼儿师范学校   学生
2013.9 至今万象城红星幼儿园  教师"</f>
        <v>2010.9—2013.7 亳州幼儿师范学校   学生
2013.9 至今万象城红星幼儿园  教师</v>
      </c>
      <c r="AC53" t="str">
        <f>"无"</f>
        <v>无</v>
      </c>
      <c r="AD53" t="str">
        <f>"钢琴"</f>
        <v>钢琴</v>
      </c>
      <c r="AE53" t="str">
        <f>"母女|杨莉||务农|父女|王行伍||务农|夫妻|赵晓明|城关派出所|辅警"</f>
        <v>母女|杨莉||务农|父女|王行伍||务农|夫妻|赵晓明|城关派出所|辅警</v>
      </c>
      <c r="AF53" s="2">
        <v>44985.478483796294</v>
      </c>
      <c r="AG53">
        <v>1</v>
      </c>
      <c r="AH53">
        <v>1</v>
      </c>
      <c r="AI53">
        <v>0</v>
      </c>
      <c r="AJ53" t="s">
        <v>94</v>
      </c>
      <c r="AK53" s="4">
        <v>45.2</v>
      </c>
      <c r="AL53" s="4">
        <v>59.9</v>
      </c>
      <c r="AM53" s="4">
        <v>52.55</v>
      </c>
      <c r="AN53">
        <v>0</v>
      </c>
    </row>
    <row r="54" spans="1:40" ht="18" customHeight="1">
      <c r="A54" t="str">
        <f>"141720230226155543340328"</f>
        <v>141720230226155543340328</v>
      </c>
      <c r="B54" t="s">
        <v>44</v>
      </c>
      <c r="C54" t="str">
        <f>"王南"</f>
        <v>王南</v>
      </c>
      <c r="D54" t="str">
        <f t="shared" si="9"/>
        <v>女</v>
      </c>
      <c r="E54" t="str">
        <f>"1997-02-10"</f>
        <v>1997-02-10</v>
      </c>
      <c r="F54" t="str">
        <f>"安徽灵璧"</f>
        <v>安徽灵璧</v>
      </c>
      <c r="G54" t="str">
        <f t="shared" si="16"/>
        <v>汉族</v>
      </c>
      <c r="H54" t="str">
        <f>"中共党员"</f>
        <v>中共党员</v>
      </c>
      <c r="I54" t="str">
        <f>"342224199702100800"</f>
        <v>342224199702100800</v>
      </c>
      <c r="J54" t="str">
        <f>"未婚"</f>
        <v>未婚</v>
      </c>
      <c r="K54" t="str">
        <f>"大专"</f>
        <v>大专</v>
      </c>
      <c r="L54" t="str">
        <f>"无"</f>
        <v>无</v>
      </c>
      <c r="M54" t="str">
        <f t="shared" si="18"/>
        <v>学前教育</v>
      </c>
      <c r="N54" t="str">
        <f>"安徽省宿州职业技术学院"</f>
        <v>安徽省宿州职业技术学院</v>
      </c>
      <c r="O54" t="str">
        <f>"2021年"</f>
        <v>2021年</v>
      </c>
      <c r="P54" t="str">
        <f>"中专"</f>
        <v>中专</v>
      </c>
      <c r="Q54" t="str">
        <f>"无"</f>
        <v>无</v>
      </c>
      <c r="R54" t="str">
        <f aca="true" t="shared" si="20" ref="R54:R67">"学前教育"</f>
        <v>学前教育</v>
      </c>
      <c r="S54" t="str">
        <f>"安徽宿州逸夫师范"</f>
        <v>安徽宿州逸夫师范</v>
      </c>
      <c r="T54" t="str">
        <f>"2017年"</f>
        <v>2017年</v>
      </c>
      <c r="U54" t="str">
        <f>"幼儿园教师资格证"</f>
        <v>幼儿园教师资格证</v>
      </c>
      <c r="V54" t="str">
        <f>"6"</f>
        <v>6</v>
      </c>
      <c r="W54" t="str">
        <f t="shared" si="19"/>
        <v>无</v>
      </c>
      <c r="X54" t="str">
        <f t="shared" si="15"/>
        <v>是</v>
      </c>
      <c r="Y54" t="str">
        <f>"浙江省温州市童乐湾幼儿园"</f>
        <v>浙江省温州市童乐湾幼儿园</v>
      </c>
      <c r="Z54" t="str">
        <f>"17880198279"</f>
        <v>17880198279</v>
      </c>
      <c r="AA54" t="str">
        <f>"浙江省温州市龙湾区龙水东路202号"</f>
        <v>浙江省温州市龙湾区龙水东路202号</v>
      </c>
      <c r="AB54" t="str">
        <f>"2019年3月-2021年本人自考专科，在宿州职业技术学院当学生，并在灵璧幼儿园上班。2022年自考本科--至今。2022年9月-至今童乐湾员工"</f>
        <v>2019年3月-2021年本人自考专科，在宿州职业技术学院当学生，并在灵璧幼儿园上班。2022年自考本科--至今。2022年9月-至今童乐湾员工</v>
      </c>
      <c r="AC54" t="str">
        <f>"无"</f>
        <v>无</v>
      </c>
      <c r="AD54" t="str">
        <f>"本人特长简笔画，编讲故事。爱好画画，听音乐，旅游"</f>
        <v>本人特长简笔画，编讲故事。爱好画画，听音乐，旅游</v>
      </c>
      <c r="AE54" t="str">
        <f>"父女|王军|个体||母女|张凤兰|个体|||||"</f>
        <v>父女|王军|个体||母女|张凤兰|个体|||||</v>
      </c>
      <c r="AF54" s="2">
        <v>44985.48994212963</v>
      </c>
      <c r="AG54">
        <v>1</v>
      </c>
      <c r="AH54">
        <v>1</v>
      </c>
      <c r="AI54">
        <v>0</v>
      </c>
      <c r="AJ54" t="s">
        <v>95</v>
      </c>
      <c r="AK54" s="4">
        <v>55.8</v>
      </c>
      <c r="AL54" s="4">
        <v>58.4</v>
      </c>
      <c r="AM54" s="4">
        <v>57.099999999999994</v>
      </c>
      <c r="AN54">
        <v>0</v>
      </c>
    </row>
    <row r="55" spans="1:40" ht="18" customHeight="1">
      <c r="A55" t="str">
        <f>"141720230226161717340330"</f>
        <v>141720230226161717340330</v>
      </c>
      <c r="B55" t="s">
        <v>44</v>
      </c>
      <c r="C55" t="str">
        <f>"李晴晴"</f>
        <v>李晴晴</v>
      </c>
      <c r="D55" t="str">
        <f t="shared" si="9"/>
        <v>女</v>
      </c>
      <c r="E55" t="str">
        <f>"2002-08"</f>
        <v>2002-08</v>
      </c>
      <c r="F55" t="str">
        <f>"安徽霍邱县"</f>
        <v>安徽霍邱县</v>
      </c>
      <c r="G55" t="str">
        <f t="shared" si="16"/>
        <v>汉族</v>
      </c>
      <c r="H55" t="str">
        <f aca="true" t="shared" si="21" ref="H55:H60">"共青团员"</f>
        <v>共青团员</v>
      </c>
      <c r="I55" t="str">
        <f>"342423200208216306"</f>
        <v>342423200208216306</v>
      </c>
      <c r="J55" t="str">
        <f>"未婚"</f>
        <v>未婚</v>
      </c>
      <c r="K55" t="str">
        <f>"大学专科"</f>
        <v>大学专科</v>
      </c>
      <c r="L55" t="str">
        <f>"无"</f>
        <v>无</v>
      </c>
      <c r="M55" t="str">
        <f t="shared" si="18"/>
        <v>学前教育</v>
      </c>
      <c r="N55" t="str">
        <f>"马鞍山师范高等专科学校"</f>
        <v>马鞍山师范高等专科学校</v>
      </c>
      <c r="O55" t="str">
        <f>"2023-06"</f>
        <v>2023-06</v>
      </c>
      <c r="P55" t="str">
        <f>"大学专科"</f>
        <v>大学专科</v>
      </c>
      <c r="Q55" t="str">
        <f>"无"</f>
        <v>无</v>
      </c>
      <c r="R55" t="str">
        <f t="shared" si="20"/>
        <v>学前教育</v>
      </c>
      <c r="S55" t="str">
        <f>"马鞍山师范高等专科学校"</f>
        <v>马鞍山师范高等专科学校</v>
      </c>
      <c r="T55" t="str">
        <f>"2023-06"</f>
        <v>2023-06</v>
      </c>
      <c r="U55" t="str">
        <f>"幼儿园教师资格证，普通话二甲证书，幼儿舞蹈八级证书"</f>
        <v>幼儿园教师资格证，普通话二甲证书，幼儿舞蹈八级证书</v>
      </c>
      <c r="V55" t="str">
        <f>"无"</f>
        <v>无</v>
      </c>
      <c r="W55" t="str">
        <f t="shared" si="19"/>
        <v>无</v>
      </c>
      <c r="X55" t="str">
        <f t="shared" si="15"/>
        <v>是</v>
      </c>
      <c r="Y55" t="str">
        <f>"保利香槟国际幼儿园"</f>
        <v>保利香槟国际幼儿园</v>
      </c>
      <c r="Z55" t="str">
        <f>"18792027099"</f>
        <v>18792027099</v>
      </c>
      <c r="AA55" t="str">
        <f>"安徽省六安市霍邱县王截流乡"</f>
        <v>安徽省六安市霍邱县王截流乡</v>
      </c>
      <c r="AB55" s="1" t="str">
        <f>"2017.9-2020.6安徽省霍邱师范学校学生
2020.10-2023.6马鞍山师范高等专科学校学生
"</f>
        <v>2017.9-2020.6安徽省霍邱师范学校学生
2020.10-2023.6马鞍山师范高等专科学校学生
</v>
      </c>
      <c r="AC55" s="1" t="str">
        <f>"2021年校级二等奖学金
2022年国家励志奖学金
"</f>
        <v>2021年校级二等奖学金
2022年国家励志奖学金
</v>
      </c>
      <c r="AD55" t="str">
        <f>"舞蹈"</f>
        <v>舞蹈</v>
      </c>
      <c r="AE55" t="str">
        <f>"父女|李汉亮|无|务农|母女|薛业勤|无|务农|姐妹|李俊影|周集镇朱港幼儿园|教师"</f>
        <v>父女|李汉亮|无|务农|母女|薛业勤|无|务农|姐妹|李俊影|周集镇朱港幼儿园|教师</v>
      </c>
      <c r="AF55" s="2">
        <v>44984.47582175926</v>
      </c>
      <c r="AG55">
        <v>1</v>
      </c>
      <c r="AH55">
        <v>1</v>
      </c>
      <c r="AI55">
        <v>0</v>
      </c>
      <c r="AJ55" t="s">
        <v>96</v>
      </c>
      <c r="AK55" s="4" t="s">
        <v>264</v>
      </c>
      <c r="AL55" s="4" t="s">
        <v>264</v>
      </c>
      <c r="AM55" s="4" t="s">
        <v>264</v>
      </c>
      <c r="AN55">
        <v>0</v>
      </c>
    </row>
    <row r="56" spans="1:40" ht="18" customHeight="1">
      <c r="A56" t="str">
        <f>"141720230226162242340331"</f>
        <v>141720230226162242340331</v>
      </c>
      <c r="B56" t="s">
        <v>44</v>
      </c>
      <c r="C56" t="str">
        <f>"陈天佑"</f>
        <v>陈天佑</v>
      </c>
      <c r="D56" t="str">
        <f>"男"</f>
        <v>男</v>
      </c>
      <c r="E56" t="str">
        <f>"1995-10-12"</f>
        <v>1995-10-12</v>
      </c>
      <c r="F56" t="str">
        <f>"安徽省亳州市利辛县刘家集乡"</f>
        <v>安徽省亳州市利辛县刘家集乡</v>
      </c>
      <c r="G56" t="str">
        <f t="shared" si="16"/>
        <v>汉族</v>
      </c>
      <c r="H56" t="str">
        <f t="shared" si="21"/>
        <v>共青团员</v>
      </c>
      <c r="I56" t="str">
        <f>"341623199510123092"</f>
        <v>341623199510123092</v>
      </c>
      <c r="J56" t="str">
        <f>"已婚"</f>
        <v>已婚</v>
      </c>
      <c r="K56" t="str">
        <f>"专科"</f>
        <v>专科</v>
      </c>
      <c r="L56" t="str">
        <f>"专科"</f>
        <v>专科</v>
      </c>
      <c r="M56" t="str">
        <f t="shared" si="18"/>
        <v>学前教育</v>
      </c>
      <c r="N56" t="str">
        <f>"阜阳职业技术学院"</f>
        <v>阜阳职业技术学院</v>
      </c>
      <c r="O56" t="str">
        <f>"2021.07"</f>
        <v>2021.07</v>
      </c>
      <c r="P56" t="str">
        <f>"专科"</f>
        <v>专科</v>
      </c>
      <c r="Q56" t="str">
        <f>"专科"</f>
        <v>专科</v>
      </c>
      <c r="R56" t="str">
        <f t="shared" si="20"/>
        <v>学前教育</v>
      </c>
      <c r="S56" t="str">
        <f>"阜阳职业技术学院"</f>
        <v>阜阳职业技术学院</v>
      </c>
      <c r="T56" t="str">
        <f>"2021.07"</f>
        <v>2021.07</v>
      </c>
      <c r="U56" t="str">
        <f>"毕业证，具备幼儿园教师资格证书"</f>
        <v>毕业证，具备幼儿园教师资格证书</v>
      </c>
      <c r="V56" t="str">
        <f>"无"</f>
        <v>无</v>
      </c>
      <c r="W56" t="str">
        <f t="shared" si="19"/>
        <v>无</v>
      </c>
      <c r="X56" t="str">
        <f t="shared" si="15"/>
        <v>是</v>
      </c>
      <c r="Y56" t="str">
        <f>"无"</f>
        <v>无</v>
      </c>
      <c r="Z56" t="str">
        <f>"19156937118"</f>
        <v>19156937118</v>
      </c>
      <c r="AA56" t="str">
        <f>"安徽省亳州市利辛县刘家集乡陈营村陈营庄146户"</f>
        <v>安徽省亳州市利辛县刘家集乡陈营村陈营庄146户</v>
      </c>
      <c r="AB56" t="str">
        <f>"2008.09.01-2013.07.01.利辛中学    2013.09.01-2016.07.01利辛一中2016.09.01-2019.07.01利辛高级中学    2019.09.01-2021.07.01阜阳职业技术学院    2021.07.01-至今 合肥聪明树早教中心  教师"</f>
        <v>2008.09.01-2013.07.01.利辛中学    2013.09.01-2016.07.01利辛一中2016.09.01-2019.07.01利辛高级中学    2019.09.01-2021.07.01阜阳职业技术学院    2021.07.01-至今 合肥聪明树早教中心  教师</v>
      </c>
      <c r="AC56" t="str">
        <f>"无"</f>
        <v>无</v>
      </c>
      <c r="AD56" t="str">
        <f>"运动"</f>
        <v>运动</v>
      </c>
      <c r="AE56" t="str">
        <f>"儿子|陈天佑|无|无|父子|陈光辉|利辛一中|教师|母子|田莉|无|务农"</f>
        <v>儿子|陈天佑|无|无|父子|陈光辉|利辛一中|教师|母子|田莉|无|务农</v>
      </c>
      <c r="AF56" s="2">
        <v>44984.57946759259</v>
      </c>
      <c r="AG56">
        <v>1</v>
      </c>
      <c r="AH56">
        <v>1</v>
      </c>
      <c r="AI56">
        <v>0</v>
      </c>
      <c r="AJ56" t="s">
        <v>97</v>
      </c>
      <c r="AK56" s="4">
        <v>57.3</v>
      </c>
      <c r="AL56" s="4">
        <v>55.9</v>
      </c>
      <c r="AM56" s="4">
        <v>56.599999999999994</v>
      </c>
      <c r="AN56">
        <v>0</v>
      </c>
    </row>
    <row r="57" spans="1:40" ht="18" customHeight="1">
      <c r="A57" t="str">
        <f>"141720230226162429340332"</f>
        <v>141720230226162429340332</v>
      </c>
      <c r="B57" t="s">
        <v>44</v>
      </c>
      <c r="C57" t="str">
        <f>"杨二婷"</f>
        <v>杨二婷</v>
      </c>
      <c r="D57" t="str">
        <f aca="true" t="shared" si="22" ref="D57:D99">"女"</f>
        <v>女</v>
      </c>
      <c r="E57" t="str">
        <f>"1998-10"</f>
        <v>1998-10</v>
      </c>
      <c r="F57" t="str">
        <f>"安徽长丰县"</f>
        <v>安徽长丰县</v>
      </c>
      <c r="G57" t="str">
        <f t="shared" si="16"/>
        <v>汉族</v>
      </c>
      <c r="H57" t="str">
        <f t="shared" si="21"/>
        <v>共青团员</v>
      </c>
      <c r="I57" t="str">
        <f>"340121199810138228"</f>
        <v>340121199810138228</v>
      </c>
      <c r="J57" t="str">
        <f>"未婚"</f>
        <v>未婚</v>
      </c>
      <c r="K57" t="str">
        <f>"本科"</f>
        <v>本科</v>
      </c>
      <c r="L57" t="str">
        <f>"本科"</f>
        <v>本科</v>
      </c>
      <c r="M57" t="str">
        <f t="shared" si="18"/>
        <v>学前教育</v>
      </c>
      <c r="N57" t="str">
        <f>"巢湖学院"</f>
        <v>巢湖学院</v>
      </c>
      <c r="O57" t="str">
        <f>"2023年6月"</f>
        <v>2023年6月</v>
      </c>
      <c r="P57" t="str">
        <f>"本科"</f>
        <v>本科</v>
      </c>
      <c r="Q57" t="str">
        <f>"本科"</f>
        <v>本科</v>
      </c>
      <c r="R57" t="str">
        <f t="shared" si="20"/>
        <v>学前教育</v>
      </c>
      <c r="S57" t="str">
        <f>"巢湖学院"</f>
        <v>巢湖学院</v>
      </c>
      <c r="T57" t="str">
        <f>"2023年6月"</f>
        <v>2023年6月</v>
      </c>
      <c r="U57" t="str">
        <f>"幼儿园教师资格证"</f>
        <v>幼儿园教师资格证</v>
      </c>
      <c r="V57" t="str">
        <f>"2022年11月到12月实习"</f>
        <v>2022年11月到12月实习</v>
      </c>
      <c r="W57" t="str">
        <f t="shared" si="19"/>
        <v>无</v>
      </c>
      <c r="X57" t="str">
        <f t="shared" si="15"/>
        <v>是</v>
      </c>
      <c r="Y57" t="str">
        <f>"无"</f>
        <v>无</v>
      </c>
      <c r="Z57" t="str">
        <f>"18556506411"</f>
        <v>18556506411</v>
      </c>
      <c r="AA57" t="str">
        <f>"安徽省合肥市长丰县杜集乡迎新村西杨组"</f>
        <v>安徽省合肥市长丰县杜集乡迎新村西杨组</v>
      </c>
      <c r="AB57" t="str">
        <f>"2015.9-2018.6朱巷中学 学生；2018.9-2021.6滁州职业技术学院学生；2021.9-2023.6巢湖学院 学生"</f>
        <v>2015.9-2018.6朱巷中学 学生；2018.9-2021.6滁州职业技术学院学生；2021.9-2023.6巢湖学院 学生</v>
      </c>
      <c r="AC57" t="str">
        <f>"无"</f>
        <v>无</v>
      </c>
      <c r="AD57" t="str">
        <f>"看书，运动"</f>
        <v>看书，运动</v>
      </c>
      <c r="AE57" t="str">
        <f>"父亲|袁泽龙|无|务农|母亲|杨英|无|务农|弟弟|袁浩|部队|义务兵"</f>
        <v>父亲|袁泽龙|无|务农|母亲|杨英|无|务农|弟弟|袁浩|部队|义务兵</v>
      </c>
      <c r="AF57" s="2">
        <v>44984.47744212963</v>
      </c>
      <c r="AG57">
        <v>1</v>
      </c>
      <c r="AH57">
        <v>1</v>
      </c>
      <c r="AI57">
        <v>0</v>
      </c>
      <c r="AJ57" t="s">
        <v>98</v>
      </c>
      <c r="AK57" s="4">
        <v>73.1</v>
      </c>
      <c r="AL57" s="4">
        <v>65.6</v>
      </c>
      <c r="AM57" s="4">
        <v>69.35</v>
      </c>
      <c r="AN57">
        <v>0</v>
      </c>
    </row>
    <row r="58" spans="1:40" ht="18" customHeight="1">
      <c r="A58" t="str">
        <f>"141720230226162849340333"</f>
        <v>141720230226162849340333</v>
      </c>
      <c r="B58" t="s">
        <v>44</v>
      </c>
      <c r="C58" t="str">
        <f>"胡于馨"</f>
        <v>胡于馨</v>
      </c>
      <c r="D58" t="str">
        <f t="shared" si="22"/>
        <v>女</v>
      </c>
      <c r="E58" t="str">
        <f>"200212"</f>
        <v>200212</v>
      </c>
      <c r="F58" t="str">
        <f>"安徽霍邱县"</f>
        <v>安徽霍邱县</v>
      </c>
      <c r="G58" t="str">
        <f t="shared" si="16"/>
        <v>汉族</v>
      </c>
      <c r="H58" t="str">
        <f t="shared" si="21"/>
        <v>共青团员</v>
      </c>
      <c r="I58" t="str">
        <f>"342423200212206581"</f>
        <v>342423200212206581</v>
      </c>
      <c r="J58" t="str">
        <f>"未婚"</f>
        <v>未婚</v>
      </c>
      <c r="K58" t="str">
        <f>"大专"</f>
        <v>大专</v>
      </c>
      <c r="L58" t="str">
        <f>"大专"</f>
        <v>大专</v>
      </c>
      <c r="M58" t="str">
        <f t="shared" si="18"/>
        <v>学前教育</v>
      </c>
      <c r="N58" t="str">
        <f>"六安职业技术学院"</f>
        <v>六安职业技术学院</v>
      </c>
      <c r="O58" t="str">
        <f>"2023年"</f>
        <v>2023年</v>
      </c>
      <c r="P58" t="str">
        <f>"六安职业技术学院"</f>
        <v>六安职业技术学院</v>
      </c>
      <c r="Q58" t="str">
        <f>"大专"</f>
        <v>大专</v>
      </c>
      <c r="R58" t="str">
        <f t="shared" si="20"/>
        <v>学前教育</v>
      </c>
      <c r="S58" t="str">
        <f>"六安职业技术学院"</f>
        <v>六安职业技术学院</v>
      </c>
      <c r="T58" t="str">
        <f>"2023"</f>
        <v>2023</v>
      </c>
      <c r="U58" t="str">
        <f>"无(2023年六月拿到毕业证就可认定幼儿教师资格证)"</f>
        <v>无(2023年六月拿到毕业证就可认定幼儿教师资格证)</v>
      </c>
      <c r="V58" t="str">
        <f>"无"</f>
        <v>无</v>
      </c>
      <c r="W58" t="str">
        <f t="shared" si="19"/>
        <v>无</v>
      </c>
      <c r="X58" t="str">
        <f t="shared" si="15"/>
        <v>是</v>
      </c>
      <c r="Y58" t="str">
        <f>"将军路幼儿园"</f>
        <v>将军路幼儿园</v>
      </c>
      <c r="Z58" t="str">
        <f>"13485961583"</f>
        <v>13485961583</v>
      </c>
      <c r="AA58" t="str">
        <f>"平桥乡永安小区一期"</f>
        <v>平桥乡永安小区一期</v>
      </c>
      <c r="AB58" s="1" t="str">
        <f>"2017.9~2020.6正华外语学校 学生
2020.9~2023.6六安职业技术学院 学生"</f>
        <v>2017.9~2020.6正华外语学校 学生
2020.9~2023.6六安职业技术学院 学生</v>
      </c>
      <c r="AC58" t="str">
        <f>"无"</f>
        <v>无</v>
      </c>
      <c r="AD58" t="str">
        <f>"弹唱 "</f>
        <v>弹唱 </v>
      </c>
      <c r="AE58" t="str">
        <f>"父女|18555896190|无|无|母女|18555855631|无|无|兄妹|19810687048|寿县安康医院|无"</f>
        <v>父女|18555896190|无|无|母女|18555855631|无|无|兄妹|19810687048|寿县安康医院|无</v>
      </c>
      <c r="AF58" s="2">
        <v>44985.48210648148</v>
      </c>
      <c r="AG58">
        <v>1</v>
      </c>
      <c r="AH58">
        <v>1</v>
      </c>
      <c r="AI58">
        <v>0</v>
      </c>
      <c r="AJ58" t="s">
        <v>99</v>
      </c>
      <c r="AK58" s="4" t="s">
        <v>264</v>
      </c>
      <c r="AL58" s="4" t="s">
        <v>264</v>
      </c>
      <c r="AM58" s="4" t="s">
        <v>264</v>
      </c>
      <c r="AN58">
        <v>0</v>
      </c>
    </row>
    <row r="59" spans="1:40" ht="18" customHeight="1">
      <c r="A59" t="str">
        <f>"141720230226164028340335"</f>
        <v>141720230226164028340335</v>
      </c>
      <c r="B59" t="s">
        <v>44</v>
      </c>
      <c r="C59" t="str">
        <f>"高晶晶"</f>
        <v>高晶晶</v>
      </c>
      <c r="D59" t="str">
        <f t="shared" si="22"/>
        <v>女</v>
      </c>
      <c r="E59" t="str">
        <f>"1995—02"</f>
        <v>1995—02</v>
      </c>
      <c r="F59" t="str">
        <f>"安徽省安庆市宿松县"</f>
        <v>安徽省安庆市宿松县</v>
      </c>
      <c r="G59" t="str">
        <f t="shared" si="16"/>
        <v>汉族</v>
      </c>
      <c r="H59" t="str">
        <f t="shared" si="21"/>
        <v>共青团员</v>
      </c>
      <c r="I59" t="str">
        <f>"340826199502210048"</f>
        <v>340826199502210048</v>
      </c>
      <c r="J59" t="str">
        <f>"未婚"</f>
        <v>未婚</v>
      </c>
      <c r="K59" t="str">
        <f>"大学本科"</f>
        <v>大学本科</v>
      </c>
      <c r="L59" t="str">
        <f>"学士学位"</f>
        <v>学士学位</v>
      </c>
      <c r="M59" t="str">
        <f t="shared" si="18"/>
        <v>学前教育</v>
      </c>
      <c r="N59" t="str">
        <f>"合肥师范学院"</f>
        <v>合肥师范学院</v>
      </c>
      <c r="O59" t="str">
        <f>"2017.7"</f>
        <v>2017.7</v>
      </c>
      <c r="P59" t="str">
        <f>"本科"</f>
        <v>本科</v>
      </c>
      <c r="Q59" t="str">
        <f>"学士"</f>
        <v>学士</v>
      </c>
      <c r="R59" t="str">
        <f t="shared" si="20"/>
        <v>学前教育</v>
      </c>
      <c r="S59" t="str">
        <f>"合肥师范学院"</f>
        <v>合肥师范学院</v>
      </c>
      <c r="T59" t="str">
        <f>"2017.7"</f>
        <v>2017.7</v>
      </c>
      <c r="U59" t="str">
        <f>"幼儿园教师资格"</f>
        <v>幼儿园教师资格</v>
      </c>
      <c r="V59" t="str">
        <f>"3年"</f>
        <v>3年</v>
      </c>
      <c r="W59" t="str">
        <f>"幼教二级"</f>
        <v>幼教二级</v>
      </c>
      <c r="X59" t="str">
        <f t="shared" si="15"/>
        <v>是</v>
      </c>
      <c r="Y59" t="str">
        <f>"无"</f>
        <v>无</v>
      </c>
      <c r="Z59" t="str">
        <f>"15555422195"</f>
        <v>15555422195</v>
      </c>
      <c r="AA59" t="str">
        <f>"安徽省安庆市宿松县孚玉镇通达南街84号"</f>
        <v>安徽省安庆市宿松县孚玉镇通达南街84号</v>
      </c>
      <c r="AB59" s="1" t="str">
        <f>"2009.9—2013.7 宿松中学
2013.9—2017.7 合肥师范学院
2017.7—2020.8 南师大幼儿园
2020.8—2021.7 合肥海顿学校
2021.7—至今  无"</f>
        <v>2009.9—2013.7 宿松中学
2013.9—2017.7 合肥师范学院
2017.7—2020.8 南师大幼儿园
2020.8—2021.7 合肥海顿学校
2021.7—至今  无</v>
      </c>
      <c r="AC59" t="str">
        <f>"无"</f>
        <v>无</v>
      </c>
      <c r="AD59" t="str">
        <f>"绘画"</f>
        <v>绘画</v>
      </c>
      <c r="AE59" t="str">
        <f>"父亲|高文财|个体|无|母亲|朱蕴萍|宿松县黄商超市|员工|妹妹|高子睿|武汉工程大学|学生"</f>
        <v>父亲|高文财|个体|无|母亲|朱蕴萍|宿松县黄商超市|员工|妹妹|高子睿|武汉工程大学|学生</v>
      </c>
      <c r="AF59" s="2">
        <v>44984.4793287037</v>
      </c>
      <c r="AG59">
        <v>1</v>
      </c>
      <c r="AH59">
        <v>1</v>
      </c>
      <c r="AI59">
        <v>0</v>
      </c>
      <c r="AJ59" t="s">
        <v>100</v>
      </c>
      <c r="AK59" s="4">
        <v>72.3</v>
      </c>
      <c r="AL59" s="4">
        <v>65.3</v>
      </c>
      <c r="AM59" s="4">
        <v>68.8</v>
      </c>
      <c r="AN59">
        <v>0</v>
      </c>
    </row>
    <row r="60" spans="1:40" ht="18" customHeight="1">
      <c r="A60" t="str">
        <f>"141720230226170041340336"</f>
        <v>141720230226170041340336</v>
      </c>
      <c r="B60" t="s">
        <v>44</v>
      </c>
      <c r="C60" t="str">
        <f>"吴丽丽"</f>
        <v>吴丽丽</v>
      </c>
      <c r="D60" t="str">
        <f t="shared" si="22"/>
        <v>女</v>
      </c>
      <c r="E60" t="str">
        <f>"1996-10"</f>
        <v>1996-10</v>
      </c>
      <c r="F60" t="str">
        <f>"安徽省庐阳区"</f>
        <v>安徽省庐阳区</v>
      </c>
      <c r="G60" t="str">
        <f t="shared" si="16"/>
        <v>汉族</v>
      </c>
      <c r="H60" t="str">
        <f t="shared" si="21"/>
        <v>共青团员</v>
      </c>
      <c r="I60" t="str">
        <f>"34010319961025052X"</f>
        <v>34010319961025052X</v>
      </c>
      <c r="J60" t="str">
        <f>"已婚"</f>
        <v>已婚</v>
      </c>
      <c r="K60" t="str">
        <f>"本科"</f>
        <v>本科</v>
      </c>
      <c r="L60" t="str">
        <f>"学士"</f>
        <v>学士</v>
      </c>
      <c r="M60" t="str">
        <f t="shared" si="18"/>
        <v>学前教育</v>
      </c>
      <c r="N60" t="str">
        <f>"合肥师范学院"</f>
        <v>合肥师范学院</v>
      </c>
      <c r="O60" t="str">
        <f>"2018-7"</f>
        <v>2018-7</v>
      </c>
      <c r="P60" t="str">
        <f>"本科"</f>
        <v>本科</v>
      </c>
      <c r="Q60" t="str">
        <f>"教育学学士"</f>
        <v>教育学学士</v>
      </c>
      <c r="R60" t="str">
        <f t="shared" si="20"/>
        <v>学前教育</v>
      </c>
      <c r="S60" t="str">
        <f>"合肥师范学院"</f>
        <v>合肥师范学院</v>
      </c>
      <c r="T60" t="str">
        <f>"2018-7"</f>
        <v>2018-7</v>
      </c>
      <c r="U60" t="str">
        <f>"教师资格证幼儿园"</f>
        <v>教师资格证幼儿园</v>
      </c>
      <c r="V60" t="str">
        <f>"3"</f>
        <v>3</v>
      </c>
      <c r="W60" t="str">
        <f aca="true" t="shared" si="23" ref="W60:W76">"无"</f>
        <v>无</v>
      </c>
      <c r="X60" t="str">
        <f t="shared" si="15"/>
        <v>是</v>
      </c>
      <c r="Y60" t="str">
        <f>"无"</f>
        <v>无</v>
      </c>
      <c r="Z60" t="str">
        <f>"8256073314"</f>
        <v>8256073314</v>
      </c>
      <c r="AA60" t="str">
        <f>"合肥市瑶海区新力东园"</f>
        <v>合肥市瑶海区新力东园</v>
      </c>
      <c r="AB60" s="1" t="str">
        <f>"2011.9-2014.7肥西师范 小学教育 学生
2014.9-2018.7合肥师范学院 学前教育 学生
2018.7-2019.2无
2019.2-2022.12学霸君教育 教师"</f>
        <v>2011.9-2014.7肥西师范 小学教育 学生
2014.9-2018.7合肥师范学院 学前教育 学生
2018.7-2019.2无
2019.2-2022.12学霸君教育 教师</v>
      </c>
      <c r="AC60" t="str">
        <f>"无"</f>
        <v>无</v>
      </c>
      <c r="AD60" t="str">
        <f>"书法 绘画 唱歌 手工"</f>
        <v>书法 绘画 唱歌 手工</v>
      </c>
      <c r="AE60" t="str">
        <f>"丈夫|左永明|中国人民解放军304旅|参谋||||||||"</f>
        <v>丈夫|左永明|中国人民解放军304旅|参谋||||||||</v>
      </c>
      <c r="AF60" s="2">
        <v>44986.37255787037</v>
      </c>
      <c r="AG60">
        <v>1</v>
      </c>
      <c r="AH60">
        <v>1</v>
      </c>
      <c r="AI60">
        <v>0</v>
      </c>
      <c r="AJ60" t="s">
        <v>101</v>
      </c>
      <c r="AK60" s="4">
        <v>76.7</v>
      </c>
      <c r="AL60" s="4">
        <v>70.4</v>
      </c>
      <c r="AM60" s="4">
        <v>73.55000000000001</v>
      </c>
      <c r="AN60">
        <v>0</v>
      </c>
    </row>
    <row r="61" spans="1:40" ht="18" customHeight="1">
      <c r="A61" t="str">
        <f>"141720230226171854340338"</f>
        <v>141720230226171854340338</v>
      </c>
      <c r="B61" t="s">
        <v>44</v>
      </c>
      <c r="C61" t="str">
        <f>"黄群芳"</f>
        <v>黄群芳</v>
      </c>
      <c r="D61" t="str">
        <f t="shared" si="22"/>
        <v>女</v>
      </c>
      <c r="E61" t="str">
        <f>"2002-05"</f>
        <v>2002-05</v>
      </c>
      <c r="F61" t="str">
        <f>"安徽安庆太湖"</f>
        <v>安徽安庆太湖</v>
      </c>
      <c r="G61" t="str">
        <f t="shared" si="16"/>
        <v>汉族</v>
      </c>
      <c r="H61" t="str">
        <f>"预备党员"</f>
        <v>预备党员</v>
      </c>
      <c r="I61" t="str">
        <f>"340825200205200424"</f>
        <v>340825200205200424</v>
      </c>
      <c r="J61" t="str">
        <f>"未婚"</f>
        <v>未婚</v>
      </c>
      <c r="K61" t="str">
        <f>"大专"</f>
        <v>大专</v>
      </c>
      <c r="L61" t="str">
        <f>"大专"</f>
        <v>大专</v>
      </c>
      <c r="M61" t="str">
        <f t="shared" si="18"/>
        <v>学前教育</v>
      </c>
      <c r="N61" t="str">
        <f>"安徽城市管理职业学院"</f>
        <v>安徽城市管理职业学院</v>
      </c>
      <c r="O61" t="str">
        <f>"2023-06"</f>
        <v>2023-06</v>
      </c>
      <c r="P61" t="str">
        <f>"大专"</f>
        <v>大专</v>
      </c>
      <c r="Q61" t="str">
        <f>"大专"</f>
        <v>大专</v>
      </c>
      <c r="R61" t="str">
        <f t="shared" si="20"/>
        <v>学前教育</v>
      </c>
      <c r="S61" t="str">
        <f>"安徽城市管理职业学院"</f>
        <v>安徽城市管理职业学院</v>
      </c>
      <c r="T61" t="str">
        <f>"2023-06"</f>
        <v>2023-06</v>
      </c>
      <c r="U61" t="str">
        <f>"幼儿园教师资格证书"</f>
        <v>幼儿园教师资格证书</v>
      </c>
      <c r="V61" t="str">
        <f>"无"</f>
        <v>无</v>
      </c>
      <c r="W61" t="str">
        <f t="shared" si="23"/>
        <v>无</v>
      </c>
      <c r="X61" t="str">
        <f t="shared" si="15"/>
        <v>是</v>
      </c>
      <c r="Y61" t="str">
        <f>"无"</f>
        <v>无</v>
      </c>
      <c r="Z61" t="str">
        <f>"15956052148"</f>
        <v>15956052148</v>
      </c>
      <c r="AA61" t="str">
        <f>"安徽省合肥市文一锦门学院里"</f>
        <v>安徽省合肥市文一锦门学院里</v>
      </c>
      <c r="AB61" s="1" t="str">
        <f>"2017.9-2020.6安庆工业学校学生担任   班长
2018.10--2020.6安庆工业学校学生  担任学生会主席
2020.9-2023.6安徽城市管理职业学院  班长
2021.10-2022.6安徽城市管理职业学院  学生会秘书长"</f>
        <v>2017.9-2020.6安庆工业学校学生担任   班长
2018.10--2020.6安庆工业学校学生  担任学生会主席
2020.9-2023.6安徽城市管理职业学院  班长
2021.10-2022.6安徽城市管理职业学院  学生会秘书长</v>
      </c>
      <c r="AC61" s="1" t="s">
        <v>48</v>
      </c>
      <c r="AD61" t="str">
        <f>"舞蹈，羽毛球"</f>
        <v>舞蹈，羽毛球</v>
      </c>
      <c r="AE61" t="str">
        <f>"父女|黄会根|国丰集团|员工|母女|郑代凤|无|无|姐妹|黄兰芳|深圳市新产业生物医学工程股份有限公司|员工"</f>
        <v>父女|黄会根|国丰集团|员工|母女|郑代凤|无|无|姐妹|黄兰芳|深圳市新产业生物医学工程股份有限公司|员工</v>
      </c>
      <c r="AF61" s="2">
        <v>44984.61770833333</v>
      </c>
      <c r="AG61">
        <v>1</v>
      </c>
      <c r="AH61">
        <v>1</v>
      </c>
      <c r="AI61">
        <v>0</v>
      </c>
      <c r="AJ61" t="s">
        <v>102</v>
      </c>
      <c r="AK61" s="4" t="s">
        <v>264</v>
      </c>
      <c r="AL61" s="4" t="s">
        <v>264</v>
      </c>
      <c r="AM61" s="4" t="s">
        <v>264</v>
      </c>
      <c r="AN61">
        <v>0</v>
      </c>
    </row>
    <row r="62" spans="1:40" ht="18" customHeight="1">
      <c r="A62" t="str">
        <f>"141720230226175946340343"</f>
        <v>141720230226175946340343</v>
      </c>
      <c r="B62" t="s">
        <v>44</v>
      </c>
      <c r="C62" t="str">
        <f>"闵新宇"</f>
        <v>闵新宇</v>
      </c>
      <c r="D62" t="str">
        <f t="shared" si="22"/>
        <v>女</v>
      </c>
      <c r="E62" t="str">
        <f>"2000-11"</f>
        <v>2000-11</v>
      </c>
      <c r="F62" t="str">
        <f>"北京"</f>
        <v>北京</v>
      </c>
      <c r="G62" t="str">
        <f t="shared" si="16"/>
        <v>汉族</v>
      </c>
      <c r="H62" t="str">
        <f>"共青团员"</f>
        <v>共青团员</v>
      </c>
      <c r="I62" t="str">
        <f>"340102200011271520"</f>
        <v>340102200011271520</v>
      </c>
      <c r="J62" t="str">
        <f>"未婚"</f>
        <v>未婚</v>
      </c>
      <c r="K62" t="str">
        <f>"本科"</f>
        <v>本科</v>
      </c>
      <c r="L62" t="str">
        <f>"学士"</f>
        <v>学士</v>
      </c>
      <c r="M62" t="str">
        <f>"酒店管理"</f>
        <v>酒店管理</v>
      </c>
      <c r="N62" t="str">
        <f>"皖江工学院"</f>
        <v>皖江工学院</v>
      </c>
      <c r="O62" t="str">
        <f>"2023年6月"</f>
        <v>2023年6月</v>
      </c>
      <c r="P62" t="str">
        <f>"专科"</f>
        <v>专科</v>
      </c>
      <c r="Q62" t="str">
        <f>"无"</f>
        <v>无</v>
      </c>
      <c r="R62" t="str">
        <f t="shared" si="20"/>
        <v>学前教育</v>
      </c>
      <c r="S62" t="str">
        <f>"合肥幼儿师范高等专科学校"</f>
        <v>合肥幼儿师范高等专科学校</v>
      </c>
      <c r="T62" t="str">
        <f>"2021.6"</f>
        <v>2021.6</v>
      </c>
      <c r="U62" t="str">
        <f>"幼儿园教师资格证、北京舞蹈学院中国舞教师资格证1-5级"</f>
        <v>幼儿园教师资格证、北京舞蹈学院中国舞教师资格证1-5级</v>
      </c>
      <c r="V62" t="str">
        <f>"无"</f>
        <v>无</v>
      </c>
      <c r="W62" t="str">
        <f t="shared" si="23"/>
        <v>无</v>
      </c>
      <c r="X62" t="str">
        <f t="shared" si="15"/>
        <v>是</v>
      </c>
      <c r="Y62" t="str">
        <f>"皖江工学院"</f>
        <v>皖江工学院</v>
      </c>
      <c r="Z62" t="str">
        <f>"13856906458"</f>
        <v>13856906458</v>
      </c>
      <c r="AA62" t="str">
        <f>"合肥市瑶海区禹州中央城水漾花园"</f>
        <v>合肥市瑶海区禹州中央城水漾花园</v>
      </c>
      <c r="AB62" s="1" t="str">
        <f>"2016.9-2019.6黄麓师范学校 学生；
2019.9-2021.6合肥幼儿师范高等专科学校 学生；
2021.9-2023.6皖江工学院 学生"</f>
        <v>2016.9-2019.6黄麓师范学校 学生；
2019.9-2021.6合肥幼儿师范高等专科学校 学生；
2021.9-2023.6皖江工学院 学生</v>
      </c>
      <c r="AC62" s="1" t="str">
        <f>"2020.10安徽省本专科生国家励志奖学金
2019.1合肥市技能大赛幼儿园活动设计二等奖
2018.1合肥市中等职业教育学生一等奖学金
2017.1合肥市中等职业教育学生三等奖学金"</f>
        <v>2020.10安徽省本专科生国家励志奖学金
2019.1合肥市技能大赛幼儿园活动设计二等奖
2018.1合肥市中等职业教育学生一等奖学金
2017.1合肥市中等职业教育学生三等奖学金</v>
      </c>
      <c r="AD62" t="str">
        <f>"钢琴九级、舞蹈"</f>
        <v>钢琴九级、舞蹈</v>
      </c>
      <c r="AE62" t="str">
        <f>"父女|闵志强|安徽省纺织服装研究所|员工|母女|谢冬娟|安徽省技术进出口股份有限公司|员工||||"</f>
        <v>父女|闵志强|安徽省纺织服装研究所|员工|母女|谢冬娟|安徽省技术进出口股份有限公司|员工||||</v>
      </c>
      <c r="AF62" s="2">
        <v>44984.61693287037</v>
      </c>
      <c r="AG62">
        <v>1</v>
      </c>
      <c r="AH62">
        <v>1</v>
      </c>
      <c r="AI62">
        <v>0</v>
      </c>
      <c r="AJ62" t="s">
        <v>103</v>
      </c>
      <c r="AK62" s="4">
        <v>64.9</v>
      </c>
      <c r="AL62" s="4">
        <v>71.3</v>
      </c>
      <c r="AM62" s="4">
        <v>68.1</v>
      </c>
      <c r="AN62">
        <v>0</v>
      </c>
    </row>
    <row r="63" spans="1:40" ht="18" customHeight="1">
      <c r="A63" t="str">
        <f>"141720230226181256340346"</f>
        <v>141720230226181256340346</v>
      </c>
      <c r="B63" t="s">
        <v>44</v>
      </c>
      <c r="C63" t="str">
        <f>"卜雨晴"</f>
        <v>卜雨晴</v>
      </c>
      <c r="D63" t="str">
        <f t="shared" si="22"/>
        <v>女</v>
      </c>
      <c r="E63" t="str">
        <f>"2001-09"</f>
        <v>2001-09</v>
      </c>
      <c r="F63" t="str">
        <f>"安徽省滁州市"</f>
        <v>安徽省滁州市</v>
      </c>
      <c r="G63" t="str">
        <f t="shared" si="16"/>
        <v>汉族</v>
      </c>
      <c r="H63" t="str">
        <f>"共青团员"</f>
        <v>共青团员</v>
      </c>
      <c r="I63" t="str">
        <f>"341125200109180200"</f>
        <v>341125200109180200</v>
      </c>
      <c r="J63" t="str">
        <f>"未婚"</f>
        <v>未婚</v>
      </c>
      <c r="K63" t="str">
        <f>"专科"</f>
        <v>专科</v>
      </c>
      <c r="L63" t="str">
        <f>"专科"</f>
        <v>专科</v>
      </c>
      <c r="M63" t="str">
        <f aca="true" t="shared" si="24" ref="M63:M69">"学前教育"</f>
        <v>学前教育</v>
      </c>
      <c r="N63" t="str">
        <f>"阜阳幼儿高等师范专科学校"</f>
        <v>阜阳幼儿高等师范专科学校</v>
      </c>
      <c r="O63" t="str">
        <f>"2022-7"</f>
        <v>2022-7</v>
      </c>
      <c r="P63" t="str">
        <f>"专科"</f>
        <v>专科</v>
      </c>
      <c r="Q63" t="str">
        <f>"专科"</f>
        <v>专科</v>
      </c>
      <c r="R63" t="str">
        <f t="shared" si="20"/>
        <v>学前教育</v>
      </c>
      <c r="S63" t="str">
        <f>"阜阳幼儿高等师范专科学校"</f>
        <v>阜阳幼儿高等师范专科学校</v>
      </c>
      <c r="T63" t="str">
        <f>"2022-7"</f>
        <v>2022-7</v>
      </c>
      <c r="U63" t="str">
        <f>"幼儿资格证"</f>
        <v>幼儿资格证</v>
      </c>
      <c r="V63" t="str">
        <f>"一年半"</f>
        <v>一年半</v>
      </c>
      <c r="W63" t="str">
        <f t="shared" si="23"/>
        <v>无</v>
      </c>
      <c r="X63" t="str">
        <f t="shared" si="15"/>
        <v>是</v>
      </c>
      <c r="Y63" t="str">
        <f>"合肥市包河区七彩竹园"</f>
        <v>合肥市包河区七彩竹园</v>
      </c>
      <c r="Z63" t="str">
        <f>"13625643384"</f>
        <v>13625643384</v>
      </c>
      <c r="AA63" t="str">
        <f>"合肥市包河区滨湖竹园"</f>
        <v>合肥市包河区滨湖竹园</v>
      </c>
      <c r="AB63" s="1" t="str">
        <f>"2017.9-2020.7肥西师范；2020.9-2022.7阜阳幼儿高等师范专科学校  
2021.9合肥市包河区安粮中心幼儿园实习一年，2022.9至今合肥市包河区七彩竹园幼儿园员工
"</f>
        <v>2017.9-2020.7肥西师范；2020.9-2022.7阜阳幼儿高等师范专科学校  
2021.9合肥市包河区安粮中心幼儿园实习一年，2022.9至今合肥市包河区七彩竹园幼儿园员工
</v>
      </c>
      <c r="AC63" t="str">
        <f aca="true" t="shared" si="25" ref="AC63:AC68">"无"</f>
        <v>无</v>
      </c>
      <c r="AD63" t="str">
        <f>"本人对于美术与舞蹈热爱，有舞蹈1到6级证书"</f>
        <v>本人对于美术与舞蹈热爱，有舞蹈1到6级证书</v>
      </c>
      <c r="AE63" t="str">
        <f>"爸爸|卜青山|盐化工厂|员工|妈妈|陶开云|无|家庭主妇|哥哥|卜小陶|长丰比亚迪汽车工业|质检员"</f>
        <v>爸爸|卜青山|盐化工厂|员工|妈妈|陶开云|无|家庭主妇|哥哥|卜小陶|长丰比亚迪汽车工业|质检员</v>
      </c>
      <c r="AF63" s="2">
        <v>44987.5080787037</v>
      </c>
      <c r="AG63">
        <v>1</v>
      </c>
      <c r="AH63">
        <v>1</v>
      </c>
      <c r="AI63">
        <v>0</v>
      </c>
      <c r="AJ63" t="s">
        <v>104</v>
      </c>
      <c r="AK63" s="4">
        <v>56.4</v>
      </c>
      <c r="AL63" s="4">
        <v>49.4</v>
      </c>
      <c r="AM63" s="4">
        <v>52.9</v>
      </c>
      <c r="AN63">
        <v>0</v>
      </c>
    </row>
    <row r="64" spans="1:40" ht="18" customHeight="1">
      <c r="A64" t="str">
        <f>"141720230226200014340361"</f>
        <v>141720230226200014340361</v>
      </c>
      <c r="B64" t="s">
        <v>44</v>
      </c>
      <c r="C64" t="str">
        <f>"杜梦婷"</f>
        <v>杜梦婷</v>
      </c>
      <c r="D64" t="str">
        <f t="shared" si="22"/>
        <v>女</v>
      </c>
      <c r="E64" t="str">
        <f>"20030803"</f>
        <v>20030803</v>
      </c>
      <c r="F64" t="str">
        <f>"安徽六安"</f>
        <v>安徽六安</v>
      </c>
      <c r="G64" t="str">
        <f t="shared" si="16"/>
        <v>汉族</v>
      </c>
      <c r="H64" t="str">
        <f>"共青团员"</f>
        <v>共青团员</v>
      </c>
      <c r="I64" t="str">
        <f>"342425200308037922"</f>
        <v>342425200308037922</v>
      </c>
      <c r="J64" t="str">
        <f>"未婚"</f>
        <v>未婚</v>
      </c>
      <c r="K64" t="str">
        <f>"专科"</f>
        <v>专科</v>
      </c>
      <c r="L64" t="str">
        <f>"无"</f>
        <v>无</v>
      </c>
      <c r="M64" t="str">
        <f t="shared" si="24"/>
        <v>学前教育</v>
      </c>
      <c r="N64" t="str">
        <f>"桐城师范高等专科学校"</f>
        <v>桐城师范高等专科学校</v>
      </c>
      <c r="O64" t="str">
        <f>"2023.7.1"</f>
        <v>2023.7.1</v>
      </c>
      <c r="P64" t="str">
        <f>"专科"</f>
        <v>专科</v>
      </c>
      <c r="Q64" t="str">
        <f>"专科"</f>
        <v>专科</v>
      </c>
      <c r="R64" t="str">
        <f t="shared" si="20"/>
        <v>学前教育</v>
      </c>
      <c r="S64" t="str">
        <f>"师范系"</f>
        <v>师范系</v>
      </c>
      <c r="T64" t="str">
        <f>"2023.7.1"</f>
        <v>2023.7.1</v>
      </c>
      <c r="U64" t="str">
        <f>"幼儿教师资格证"</f>
        <v>幼儿教师资格证</v>
      </c>
      <c r="V64" t="str">
        <f>"3个月"</f>
        <v>3个月</v>
      </c>
      <c r="W64" t="str">
        <f t="shared" si="23"/>
        <v>无</v>
      </c>
      <c r="X64" t="str">
        <f t="shared" si="15"/>
        <v>是</v>
      </c>
      <c r="Y64" t="str">
        <f>"无"</f>
        <v>无</v>
      </c>
      <c r="Z64" t="str">
        <f>"17856460982"</f>
        <v>17856460982</v>
      </c>
      <c r="AA64" t="str">
        <f>"安徽省六安市舒城县城关镇佳源柏林春天"</f>
        <v>安徽省六安市舒城县城关镇佳源柏林春天</v>
      </c>
      <c r="AB64" s="1" t="str">
        <f>"2018年9月1日-2021年9月1日在舒城师范学校学习
2021年9月1日-2023年7月1日在桐城师范高等专科学校学习
"</f>
        <v>2018年9月1日-2021年9月1日在舒城师范学校学习
2021年9月1日-2023年7月1日在桐城师范高等专科学校学习
</v>
      </c>
      <c r="AC64" t="str">
        <f t="shared" si="25"/>
        <v>无</v>
      </c>
      <c r="AD64" t="str">
        <f>"跳舞 书法 画画"</f>
        <v>跳舞 书法 画画</v>
      </c>
      <c r="AE64" t="str">
        <f>"爸爸|杜公海|务工|无|妈妈|林国秀|务工|无|弟弟|杜燚林|上学|学生"</f>
        <v>爸爸|杜公海|务工|无|妈妈|林国秀|务工|无|弟弟|杜燚林|上学|学生</v>
      </c>
      <c r="AF64" s="2">
        <v>44984.48299768518</v>
      </c>
      <c r="AG64">
        <v>1</v>
      </c>
      <c r="AH64">
        <v>1</v>
      </c>
      <c r="AI64">
        <v>0</v>
      </c>
      <c r="AJ64" t="s">
        <v>105</v>
      </c>
      <c r="AK64" s="4">
        <v>60.6</v>
      </c>
      <c r="AL64" s="4">
        <v>60.1</v>
      </c>
      <c r="AM64" s="4">
        <v>60.35</v>
      </c>
      <c r="AN64">
        <v>0</v>
      </c>
    </row>
    <row r="65" spans="1:40" ht="18" customHeight="1">
      <c r="A65" t="str">
        <f>"141720230226202422340363"</f>
        <v>141720230226202422340363</v>
      </c>
      <c r="B65" t="s">
        <v>44</v>
      </c>
      <c r="C65" t="str">
        <f>"吴金荣"</f>
        <v>吴金荣</v>
      </c>
      <c r="D65" t="str">
        <f t="shared" si="22"/>
        <v>女</v>
      </c>
      <c r="E65" t="str">
        <f>"1991-12"</f>
        <v>1991-12</v>
      </c>
      <c r="F65" t="str">
        <f>"安徽省亳州市"</f>
        <v>安徽省亳州市</v>
      </c>
      <c r="G65" t="str">
        <f t="shared" si="16"/>
        <v>汉族</v>
      </c>
      <c r="H65" t="str">
        <f>"共青团员"</f>
        <v>共青团员</v>
      </c>
      <c r="I65" t="str">
        <f>"341281199112302820"</f>
        <v>341281199112302820</v>
      </c>
      <c r="J65" t="str">
        <f>"已婚"</f>
        <v>已婚</v>
      </c>
      <c r="K65" t="str">
        <f>"本科"</f>
        <v>本科</v>
      </c>
      <c r="L65" t="str">
        <f>"本科"</f>
        <v>本科</v>
      </c>
      <c r="M65" t="str">
        <f t="shared" si="24"/>
        <v>学前教育</v>
      </c>
      <c r="N65" t="str">
        <f>"长春师范大学"</f>
        <v>长春师范大学</v>
      </c>
      <c r="O65" t="str">
        <f>"2019.6"</f>
        <v>2019.6</v>
      </c>
      <c r="P65" t="str">
        <f>"本科"</f>
        <v>本科</v>
      </c>
      <c r="Q65" t="str">
        <f>"学士"</f>
        <v>学士</v>
      </c>
      <c r="R65" t="str">
        <f t="shared" si="20"/>
        <v>学前教育</v>
      </c>
      <c r="S65" t="str">
        <f>"长春师范大学"</f>
        <v>长春师范大学</v>
      </c>
      <c r="T65" t="str">
        <f>"2019.6"</f>
        <v>2019.6</v>
      </c>
      <c r="U65" t="str">
        <f>"幼儿教师资格证"</f>
        <v>幼儿教师资格证</v>
      </c>
      <c r="V65" t="str">
        <f>"3年"</f>
        <v>3年</v>
      </c>
      <c r="W65" t="str">
        <f t="shared" si="23"/>
        <v>无</v>
      </c>
      <c r="X65" t="str">
        <f t="shared" si="15"/>
        <v>是</v>
      </c>
      <c r="Y65" t="str">
        <f>"已离职"</f>
        <v>已离职</v>
      </c>
      <c r="Z65" t="str">
        <f>"15144197157"</f>
        <v>15144197157</v>
      </c>
      <c r="AA65" t="str">
        <f>"安徽省合肥市瑶海区铁静苑"</f>
        <v>安徽省合肥市瑶海区铁静苑</v>
      </c>
      <c r="AB65" s="1" t="str">
        <f>"2011.9-2014.6 亳州二中 学生；
2014.9-2019.6 长春师范大学 学生；
2019.7-2022.8 苏州贝思安亲艺术培训有限责任公司 员工"</f>
        <v>2011.9-2014.6 亳州二中 学生；
2014.9-2019.6 长春师范大学 学生；
2019.7-2022.8 苏州贝思安亲艺术培训有限责任公司 员工</v>
      </c>
      <c r="AC65" t="str">
        <f t="shared" si="25"/>
        <v>无</v>
      </c>
      <c r="AD65" t="str">
        <f>"跑步"</f>
        <v>跑步</v>
      </c>
      <c r="AE65" t="str">
        <f>"父女关系|吴合爱|无|个体商户|母女关系|牛龄云|无|个体|夫妻关系|秦培阳|银行|员工"</f>
        <v>父女关系|吴合爱|无|个体商户|母女关系|牛龄云|无|个体|夫妻关系|秦培阳|银行|员工</v>
      </c>
      <c r="AF65" s="2">
        <v>44984.388391203705</v>
      </c>
      <c r="AG65">
        <v>1</v>
      </c>
      <c r="AH65">
        <v>1</v>
      </c>
      <c r="AI65">
        <v>0</v>
      </c>
      <c r="AJ65" t="s">
        <v>106</v>
      </c>
      <c r="AK65" s="4">
        <v>60.8</v>
      </c>
      <c r="AL65" s="4">
        <v>53.6</v>
      </c>
      <c r="AM65" s="4">
        <v>57.2</v>
      </c>
      <c r="AN65">
        <v>0</v>
      </c>
    </row>
    <row r="66" spans="1:40" ht="18" customHeight="1">
      <c r="A66" t="str">
        <f>"141720230226202753340364"</f>
        <v>141720230226202753340364</v>
      </c>
      <c r="B66" t="s">
        <v>44</v>
      </c>
      <c r="C66" t="str">
        <f>"陈聪聪"</f>
        <v>陈聪聪</v>
      </c>
      <c r="D66" t="str">
        <f t="shared" si="22"/>
        <v>女</v>
      </c>
      <c r="E66" t="str">
        <f>"1991-07"</f>
        <v>1991-07</v>
      </c>
      <c r="F66" t="str">
        <f>"安徽阜阳市临泉县"</f>
        <v>安徽阜阳市临泉县</v>
      </c>
      <c r="G66" t="str">
        <f t="shared" si="16"/>
        <v>汉族</v>
      </c>
      <c r="H66" t="str">
        <f>"共青团员"</f>
        <v>共青团员</v>
      </c>
      <c r="I66" t="str">
        <f>"34122119910712682X"</f>
        <v>34122119910712682X</v>
      </c>
      <c r="J66" t="str">
        <f>"未婚"</f>
        <v>未婚</v>
      </c>
      <c r="K66" t="str">
        <f>"专科"</f>
        <v>专科</v>
      </c>
      <c r="L66" t="str">
        <f>"无"</f>
        <v>无</v>
      </c>
      <c r="M66" t="str">
        <f t="shared" si="24"/>
        <v>学前教育</v>
      </c>
      <c r="N66" t="str">
        <f>"蚌埠学院"</f>
        <v>蚌埠学院</v>
      </c>
      <c r="O66" t="str">
        <f>"2014.07"</f>
        <v>2014.07</v>
      </c>
      <c r="P66" t="str">
        <f>"专科"</f>
        <v>专科</v>
      </c>
      <c r="Q66" t="str">
        <f>"无"</f>
        <v>无</v>
      </c>
      <c r="R66" t="str">
        <f t="shared" si="20"/>
        <v>学前教育</v>
      </c>
      <c r="S66" t="str">
        <f>"蚌埠学院"</f>
        <v>蚌埠学院</v>
      </c>
      <c r="T66" t="str">
        <f>"2014.07"</f>
        <v>2014.07</v>
      </c>
      <c r="U66" t="str">
        <f>"幼儿园教师资格证"</f>
        <v>幼儿园教师资格证</v>
      </c>
      <c r="V66" t="str">
        <f>"5年"</f>
        <v>5年</v>
      </c>
      <c r="W66" t="str">
        <f t="shared" si="23"/>
        <v>无</v>
      </c>
      <c r="X66" t="str">
        <f t="shared" si="15"/>
        <v>是</v>
      </c>
      <c r="Y66" t="str">
        <f>"浙江省杭州市萧山区新塘中心幼儿园"</f>
        <v>浙江省杭州市萧山区新塘中心幼儿园</v>
      </c>
      <c r="Z66" t="str">
        <f>"13819137874"</f>
        <v>13819137874</v>
      </c>
      <c r="AA66" t="str">
        <f>"浙江省杭州市萧山区新塘街道塘里陈社区华羽羽绒223号"</f>
        <v>浙江省杭州市萧山区新塘街道塘里陈社区华羽羽绒223号</v>
      </c>
      <c r="AB66" s="1" t="str">
        <f>"2007.09-2011.07  临泉二中  学生
2011.09-2014.07 蚌埠学院   学生
2014.08-2016.07  旭日景城幼儿园   幼师
2020.3-至今   新塘中心幼儿园
"</f>
        <v>2007.09-2011.07  临泉二中  学生
2011.09-2014.07 蚌埠学院   学生
2014.08-2016.07  旭日景城幼儿园   幼师
2020.3-至今   新塘中心幼儿园
</v>
      </c>
      <c r="AC66" t="str">
        <f t="shared" si="25"/>
        <v>无</v>
      </c>
      <c r="AD66" t="str">
        <f>"看书"</f>
        <v>看书</v>
      </c>
      <c r="AE66" t="str">
        <f>"父女|陈宜中||兽医|母女|马守侠|育才小学|教师|姐弟|陈小龙|杭州普尼装饰设计有限公司|预算"</f>
        <v>父女|陈宜中||兽医|母女|马守侠|育才小学|教师|姐弟|陈小龙|杭州普尼装饰设计有限公司|预算</v>
      </c>
      <c r="AF66" s="2">
        <v>44984.490590277775</v>
      </c>
      <c r="AG66">
        <v>1</v>
      </c>
      <c r="AH66">
        <v>1</v>
      </c>
      <c r="AI66">
        <v>0</v>
      </c>
      <c r="AJ66" t="s">
        <v>107</v>
      </c>
      <c r="AK66" s="4">
        <v>77.2</v>
      </c>
      <c r="AL66" s="4">
        <v>59.7</v>
      </c>
      <c r="AM66" s="4">
        <v>68.45</v>
      </c>
      <c r="AN66">
        <v>0</v>
      </c>
    </row>
    <row r="67" spans="1:40" ht="18" customHeight="1">
      <c r="A67" t="str">
        <f>"141720230226202909340366"</f>
        <v>141720230226202909340366</v>
      </c>
      <c r="B67" t="s">
        <v>44</v>
      </c>
      <c r="C67" t="str">
        <f>"杨菊"</f>
        <v>杨菊</v>
      </c>
      <c r="D67" t="str">
        <f t="shared" si="22"/>
        <v>女</v>
      </c>
      <c r="E67" t="str">
        <f>"2000-01"</f>
        <v>2000-01</v>
      </c>
      <c r="F67" t="str">
        <f>"安徽省芜湖市繁昌区"</f>
        <v>安徽省芜湖市繁昌区</v>
      </c>
      <c r="G67" t="str">
        <f t="shared" si="16"/>
        <v>汉族</v>
      </c>
      <c r="H67" t="str">
        <f>"中共党员"</f>
        <v>中共党员</v>
      </c>
      <c r="I67" t="str">
        <f>"34022220000123572X"</f>
        <v>34022220000123572X</v>
      </c>
      <c r="J67" t="str">
        <f>"未婚"</f>
        <v>未婚</v>
      </c>
      <c r="K67" t="str">
        <f>"大专"</f>
        <v>大专</v>
      </c>
      <c r="L67" t="str">
        <f>"无"</f>
        <v>无</v>
      </c>
      <c r="M67" t="str">
        <f t="shared" si="24"/>
        <v>学前教育</v>
      </c>
      <c r="N67" t="str">
        <f>"马鞍山师范高等专科学校"</f>
        <v>马鞍山师范高等专科学校</v>
      </c>
      <c r="O67" t="str">
        <f>"2021-06"</f>
        <v>2021-06</v>
      </c>
      <c r="P67" t="str">
        <f>"大专"</f>
        <v>大专</v>
      </c>
      <c r="Q67" t="str">
        <f>"无"</f>
        <v>无</v>
      </c>
      <c r="R67" t="str">
        <f t="shared" si="20"/>
        <v>学前教育</v>
      </c>
      <c r="S67" t="str">
        <f>"马鞍山师范高等专科学校"</f>
        <v>马鞍山师范高等专科学校</v>
      </c>
      <c r="T67" t="str">
        <f>"2021-06"</f>
        <v>2021-06</v>
      </c>
      <c r="U67" t="str">
        <f>"幼儿教师资格证、普通话二甲"</f>
        <v>幼儿教师资格证、普通话二甲</v>
      </c>
      <c r="V67" t="str">
        <f>"无"</f>
        <v>无</v>
      </c>
      <c r="W67" t="str">
        <f t="shared" si="23"/>
        <v>无</v>
      </c>
      <c r="X67" t="str">
        <f t="shared" si="15"/>
        <v>是</v>
      </c>
      <c r="Y67" t="str">
        <f>"无"</f>
        <v>无</v>
      </c>
      <c r="Z67" t="str">
        <f>"18255333277"</f>
        <v>18255333277</v>
      </c>
      <c r="AA67" t="str">
        <f>"安徽省芜湖市繁昌区"</f>
        <v>安徽省芜湖市繁昌区</v>
      </c>
      <c r="AB67" s="1" t="str">
        <f>"2015.9-2018.6 繁昌二中 学生；
2018.9-2021.6 马鞍山师范高等专科学校 学生"</f>
        <v>2015.9-2018.6 繁昌二中 学生；
2018.9-2021.6 马鞍山师范高等专科学校 学生</v>
      </c>
      <c r="AC67" t="str">
        <f t="shared" si="25"/>
        <v>无</v>
      </c>
      <c r="AD67" t="str">
        <f>"无"</f>
        <v>无</v>
      </c>
      <c r="AE67" t="str">
        <f>"姐妹|杨萍|个体|无||||||||"</f>
        <v>姐妹|杨萍|个体|无||||||||</v>
      </c>
      <c r="AF67" s="2">
        <v>44984.48637731482</v>
      </c>
      <c r="AG67">
        <v>1</v>
      </c>
      <c r="AH67">
        <v>1</v>
      </c>
      <c r="AI67">
        <v>0</v>
      </c>
      <c r="AJ67" t="s">
        <v>108</v>
      </c>
      <c r="AK67" s="4">
        <v>76</v>
      </c>
      <c r="AL67" s="4">
        <v>65.6</v>
      </c>
      <c r="AM67" s="4">
        <v>70.8</v>
      </c>
      <c r="AN67">
        <v>0</v>
      </c>
    </row>
    <row r="68" spans="1:40" ht="18" customHeight="1">
      <c r="A68" t="str">
        <f>"141720230226203400340367"</f>
        <v>141720230226203400340367</v>
      </c>
      <c r="B68" t="s">
        <v>44</v>
      </c>
      <c r="C68" t="str">
        <f>"张雨"</f>
        <v>张雨</v>
      </c>
      <c r="D68" t="str">
        <f t="shared" si="22"/>
        <v>女</v>
      </c>
      <c r="E68" t="str">
        <f>"1989-11"</f>
        <v>1989-11</v>
      </c>
      <c r="F68" t="str">
        <f>"安徽省六安市"</f>
        <v>安徽省六安市</v>
      </c>
      <c r="G68" t="str">
        <f t="shared" si="16"/>
        <v>汉族</v>
      </c>
      <c r="H68" t="str">
        <f>"群众"</f>
        <v>群众</v>
      </c>
      <c r="I68" t="str">
        <f>"342425198911126727"</f>
        <v>342425198911126727</v>
      </c>
      <c r="J68" t="str">
        <f>"已婚"</f>
        <v>已婚</v>
      </c>
      <c r="K68" t="str">
        <f>"本科"</f>
        <v>本科</v>
      </c>
      <c r="L68" t="str">
        <f>"本科"</f>
        <v>本科</v>
      </c>
      <c r="M68" t="str">
        <f t="shared" si="24"/>
        <v>学前教育</v>
      </c>
      <c r="N68" t="str">
        <f>"安徽省师范大学"</f>
        <v>安徽省师范大学</v>
      </c>
      <c r="O68" t="str">
        <f>"2023.07"</f>
        <v>2023.07</v>
      </c>
      <c r="P68" t="str">
        <f>"大专"</f>
        <v>大专</v>
      </c>
      <c r="Q68" t="str">
        <f>"大专"</f>
        <v>大专</v>
      </c>
      <c r="R68" t="str">
        <f>"药学"</f>
        <v>药学</v>
      </c>
      <c r="S68" t="str">
        <f>"中国开放大学"</f>
        <v>中国开放大学</v>
      </c>
      <c r="T68" t="str">
        <f>"2019.07"</f>
        <v>2019.07</v>
      </c>
      <c r="U68" t="str">
        <f>"幼儿园教师资格证"</f>
        <v>幼儿园教师资格证</v>
      </c>
      <c r="V68" t="str">
        <f>"四年半"</f>
        <v>四年半</v>
      </c>
      <c r="W68" t="str">
        <f t="shared" si="23"/>
        <v>无</v>
      </c>
      <c r="X68" t="str">
        <f>"否"</f>
        <v>否</v>
      </c>
      <c r="Y68" t="str">
        <f>"舒城县金墩幼儿园"</f>
        <v>舒城县金墩幼儿园</v>
      </c>
      <c r="Z68" t="str">
        <f>"13385682999"</f>
        <v>13385682999</v>
      </c>
      <c r="AA68" t="str">
        <f>"安徽省舒城县"</f>
        <v>安徽省舒城县</v>
      </c>
      <c r="AB68" s="1" t="str">
        <f>"2006.09-2008.06 年  晓天中学
2008.09-2011.07年安徽经济职业技术学院  会计专业
2011.11-2011.04年中国电信股份有限公司舒城分公司
2016.03-2019.09年国家开放大学   药学专业
2018.07-至今 龙舒花园 金墩幼儿园   幼师
2019.09-2013.03安徽师范大学   学前教育专业"</f>
        <v>2006.09-2008.06 年  晓天中学
2008.09-2011.07年安徽经济职业技术学院  会计专业
2011.11-2011.04年中国电信股份有限公司舒城分公司
2016.03-2019.09年国家开放大学   药学专业
2018.07-至今 龙舒花园 金墩幼儿园   幼师
2019.09-2013.03安徽师范大学   学前教育专业</v>
      </c>
      <c r="AC68" t="str">
        <f t="shared" si="25"/>
        <v>无</v>
      </c>
      <c r="AD68" t="str">
        <f>"无"</f>
        <v>无</v>
      </c>
      <c r="AE68" t="str">
        <f>"父亲|张家鹏|舒城食品公司|会计|丈夫|张振兴|中国邮政|主任||||"</f>
        <v>父亲|张家鹏|舒城食品公司|会计|丈夫|张振兴|中国邮政|主任||||</v>
      </c>
      <c r="AF68" s="2">
        <v>44985.48063657407</v>
      </c>
      <c r="AG68">
        <v>1</v>
      </c>
      <c r="AH68">
        <v>1</v>
      </c>
      <c r="AI68">
        <v>0</v>
      </c>
      <c r="AJ68" t="s">
        <v>109</v>
      </c>
      <c r="AK68" s="4">
        <v>61.9</v>
      </c>
      <c r="AL68" s="4">
        <v>62.6</v>
      </c>
      <c r="AM68" s="4">
        <v>62.25</v>
      </c>
      <c r="AN68">
        <v>0</v>
      </c>
    </row>
    <row r="69" spans="1:40" ht="18" customHeight="1">
      <c r="A69" t="str">
        <f>"141720230226203956340369"</f>
        <v>141720230226203956340369</v>
      </c>
      <c r="B69" t="s">
        <v>44</v>
      </c>
      <c r="C69" t="str">
        <f>"朱精玲"</f>
        <v>朱精玲</v>
      </c>
      <c r="D69" t="str">
        <f t="shared" si="22"/>
        <v>女</v>
      </c>
      <c r="E69" t="str">
        <f>"1998-11"</f>
        <v>1998-11</v>
      </c>
      <c r="F69" t="str">
        <f>"安徽池州"</f>
        <v>安徽池州</v>
      </c>
      <c r="G69" t="str">
        <f t="shared" si="16"/>
        <v>汉族</v>
      </c>
      <c r="H69" t="str">
        <f>"预备党员"</f>
        <v>预备党员</v>
      </c>
      <c r="I69" t="str">
        <f>"342923199811096021"</f>
        <v>342923199811096021</v>
      </c>
      <c r="J69" t="str">
        <f>"未婚"</f>
        <v>未婚</v>
      </c>
      <c r="K69" t="str">
        <f>"本科"</f>
        <v>本科</v>
      </c>
      <c r="L69" t="str">
        <f>"本科"</f>
        <v>本科</v>
      </c>
      <c r="M69" t="str">
        <f t="shared" si="24"/>
        <v>学前教育</v>
      </c>
      <c r="N69" t="str">
        <f>"南昌师范学院"</f>
        <v>南昌师范学院</v>
      </c>
      <c r="O69" t="str">
        <f>"2023-6"</f>
        <v>2023-6</v>
      </c>
      <c r="P69" t="str">
        <f>"本科"</f>
        <v>本科</v>
      </c>
      <c r="Q69" t="str">
        <f>"本科"</f>
        <v>本科</v>
      </c>
      <c r="R69" t="str">
        <f>"学前教育"</f>
        <v>学前教育</v>
      </c>
      <c r="S69" t="str">
        <f>"南昌师范学院"</f>
        <v>南昌师范学院</v>
      </c>
      <c r="T69" t="str">
        <f>"2023-6"</f>
        <v>2023-6</v>
      </c>
      <c r="U69" t="str">
        <f>"幼儿园教师资格证、普通话证书、高级育婴师、九级卡漫证书"</f>
        <v>幼儿园教师资格证、普通话证书、高级育婴师、九级卡漫证书</v>
      </c>
      <c r="V69" t="str">
        <f>"0"</f>
        <v>0</v>
      </c>
      <c r="W69" t="str">
        <f t="shared" si="23"/>
        <v>无</v>
      </c>
      <c r="X69" t="str">
        <f aca="true" t="shared" si="26" ref="X69:X74">"是"</f>
        <v>是</v>
      </c>
      <c r="Y69" t="str">
        <f>"无"</f>
        <v>无</v>
      </c>
      <c r="Z69" t="str">
        <f>"18226967973"</f>
        <v>18226967973</v>
      </c>
      <c r="AA69" t="str">
        <f>"安徽省池州市青阳县庙前镇高源村"</f>
        <v>安徽省池州市青阳县庙前镇高源村</v>
      </c>
      <c r="AB69" s="1" t="str">
        <f>"2014.9-2017.6 青阳县第一中学
2017.9-2018.6 九子山青华公学
2018.9-2021.6 江西师范高等专科学校
2021.9-2023.6 南昌师范学院"</f>
        <v>2014.9-2017.6 青阳县第一中学
2017.9-2018.6 九子山青华公学
2018.9-2021.6 江西师范高等专科学校
2021.9-2023.6 南昌师范学院</v>
      </c>
      <c r="AC69" t="str">
        <f>"荣获校二等奖学金、获得“优秀共青团员”、“优秀毕业生”等荣誉称号、成为预备党员"</f>
        <v>荣获校二等奖学金、获得“优秀共青团员”、“优秀毕业生”等荣誉称号、成为预备党员</v>
      </c>
      <c r="AD69" s="1" t="str">
        <f>"特长：手工
爱好：看书、听歌"</f>
        <v>特长：手工
爱好：看书、听歌</v>
      </c>
      <c r="AE69" t="str">
        <f>"父亲|朱忠宝|务农|农民|母亲|刘丽霞|务农|农民|妹妹|朱精屏|青阳县第一中学|学生"</f>
        <v>父亲|朱忠宝|务农|农民|母亲|刘丽霞|务农|农民|妹妹|朱精屏|青阳县第一中学|学生</v>
      </c>
      <c r="AF69" s="2">
        <v>44984.489965277775</v>
      </c>
      <c r="AG69">
        <v>1</v>
      </c>
      <c r="AH69">
        <v>1</v>
      </c>
      <c r="AI69">
        <v>0</v>
      </c>
      <c r="AJ69" t="s">
        <v>110</v>
      </c>
      <c r="AK69" s="4">
        <v>73.4</v>
      </c>
      <c r="AL69" s="4">
        <v>58.4</v>
      </c>
      <c r="AM69" s="4">
        <v>65.9</v>
      </c>
      <c r="AN69">
        <v>0</v>
      </c>
    </row>
    <row r="70" spans="1:40" ht="18" customHeight="1">
      <c r="A70" t="str">
        <f>"141720230226204042340370"</f>
        <v>141720230226204042340370</v>
      </c>
      <c r="B70" t="s">
        <v>44</v>
      </c>
      <c r="C70" t="str">
        <f>"张瑾瑜"</f>
        <v>张瑾瑜</v>
      </c>
      <c r="D70" t="str">
        <f t="shared" si="22"/>
        <v>女</v>
      </c>
      <c r="E70" t="str">
        <f>"2002-2"</f>
        <v>2002-2</v>
      </c>
      <c r="F70" t="str">
        <f>"安徽省怀远县"</f>
        <v>安徽省怀远县</v>
      </c>
      <c r="G70" t="str">
        <f t="shared" si="16"/>
        <v>汉族</v>
      </c>
      <c r="H70" t="str">
        <f>"共青团员"</f>
        <v>共青团员</v>
      </c>
      <c r="I70" t="str">
        <f>"34032120020204796X"</f>
        <v>34032120020204796X</v>
      </c>
      <c r="J70" t="str">
        <f>"未婚"</f>
        <v>未婚</v>
      </c>
      <c r="K70" t="str">
        <f>"全日制普通本科"</f>
        <v>全日制普通本科</v>
      </c>
      <c r="L70" t="str">
        <f>"学士学位"</f>
        <v>学士学位</v>
      </c>
      <c r="M70" t="str">
        <f>"学前教育（师范）"</f>
        <v>学前教育（师范）</v>
      </c>
      <c r="N70" t="str">
        <f>"淮北师范大学"</f>
        <v>淮北师范大学</v>
      </c>
      <c r="O70" t="str">
        <f>"2023-6"</f>
        <v>2023-6</v>
      </c>
      <c r="P70" t="str">
        <f>"全日制普通本科"</f>
        <v>全日制普通本科</v>
      </c>
      <c r="Q70" t="str">
        <f>"学士学位"</f>
        <v>学士学位</v>
      </c>
      <c r="R70" t="str">
        <f>"学前教育（师范）"</f>
        <v>学前教育（师范）</v>
      </c>
      <c r="S70" t="str">
        <f>"淮北师范大学"</f>
        <v>淮北师范大学</v>
      </c>
      <c r="T70" t="str">
        <f>"2023-6"</f>
        <v>2023-6</v>
      </c>
      <c r="U70" t="str">
        <f>"幼师资格证、普通话二甲证书、大学英语六级证书、计算机二级证书"</f>
        <v>幼师资格证、普通话二甲证书、大学英语六级证书、计算机二级证书</v>
      </c>
      <c r="V70" t="str">
        <f>"无"</f>
        <v>无</v>
      </c>
      <c r="W70" t="str">
        <f t="shared" si="23"/>
        <v>无</v>
      </c>
      <c r="X70" t="str">
        <f t="shared" si="26"/>
        <v>是</v>
      </c>
      <c r="Y70" t="str">
        <f>"淮北师范大学"</f>
        <v>淮北师范大学</v>
      </c>
      <c r="Z70" t="str">
        <f>"17856998851"</f>
        <v>17856998851</v>
      </c>
      <c r="AA70" t="str">
        <f>"安徽省怀远县荆山镇新上社区后拐162号"</f>
        <v>安徽省怀远县荆山镇新上社区后拐162号</v>
      </c>
      <c r="AB70" s="1" t="str">
        <f>"2016.9-2019.6 安徽省怀远一中 学生；
2019.9-2023.6 淮北师范大学 学生；
"</f>
        <v>2016.9-2019.6 安徽省怀远一中 学生；
2019.9-2023.6 淮北师范大学 学生；
</v>
      </c>
      <c r="AC70" s="1" t="str">
        <f>"高中曾获校级三好学生称号；
大学曾获校级奖学金和校级三好学生称号；"</f>
        <v>高中曾获校级三好学生称号；
大学曾获校级奖学金和校级三好学生称号；</v>
      </c>
      <c r="AD70" t="str">
        <f>"熟练运用计算机软件、具备日常英文沟通能力"</f>
        <v>熟练运用计算机软件、具备日常英文沟通能力</v>
      </c>
      <c r="AE70" t="str">
        <f>"父亲|张怀前|无|农民|母亲|卢永芳|无|农民|弟弟|张冬晨|安徽省怀远一中|学生"</f>
        <v>父亲|张怀前|无|农民|母亲|卢永芳|无|农民|弟弟|张冬晨|安徽省怀远一中|学生</v>
      </c>
      <c r="AF70" s="2">
        <v>44984.491261574076</v>
      </c>
      <c r="AG70">
        <v>1</v>
      </c>
      <c r="AH70">
        <v>1</v>
      </c>
      <c r="AI70">
        <v>0</v>
      </c>
      <c r="AJ70" t="s">
        <v>111</v>
      </c>
      <c r="AK70" s="4" t="s">
        <v>264</v>
      </c>
      <c r="AL70" s="4" t="s">
        <v>264</v>
      </c>
      <c r="AM70" s="4" t="s">
        <v>264</v>
      </c>
      <c r="AN70">
        <v>0</v>
      </c>
    </row>
    <row r="71" spans="1:40" ht="18" customHeight="1">
      <c r="A71" t="str">
        <f>"141720230226204116340372"</f>
        <v>141720230226204116340372</v>
      </c>
      <c r="B71" t="s">
        <v>44</v>
      </c>
      <c r="C71" t="str">
        <f>"宋娟"</f>
        <v>宋娟</v>
      </c>
      <c r="D71" t="str">
        <f t="shared" si="22"/>
        <v>女</v>
      </c>
      <c r="E71" t="str">
        <f>"1990-06-18"</f>
        <v>1990-06-18</v>
      </c>
      <c r="F71" t="str">
        <f>"安徽省六安市"</f>
        <v>安徽省六安市</v>
      </c>
      <c r="G71" t="str">
        <f t="shared" si="16"/>
        <v>汉族</v>
      </c>
      <c r="H71" t="str">
        <f>"群众"</f>
        <v>群众</v>
      </c>
      <c r="I71" t="str">
        <f>"342423199006184582"</f>
        <v>342423199006184582</v>
      </c>
      <c r="J71" t="str">
        <f>"已婚"</f>
        <v>已婚</v>
      </c>
      <c r="K71" t="str">
        <f>"本科"</f>
        <v>本科</v>
      </c>
      <c r="L71" t="str">
        <f>"无"</f>
        <v>无</v>
      </c>
      <c r="M71" t="str">
        <f>"小学教育"</f>
        <v>小学教育</v>
      </c>
      <c r="N71" t="str">
        <f>"吉林省教育学院"</f>
        <v>吉林省教育学院</v>
      </c>
      <c r="O71" t="str">
        <f>"2022-01-05"</f>
        <v>2022-01-05</v>
      </c>
      <c r="P71" t="str">
        <f>"大专"</f>
        <v>大专</v>
      </c>
      <c r="Q71" t="str">
        <f>"无"</f>
        <v>无</v>
      </c>
      <c r="R71" t="str">
        <f aca="true" t="shared" si="27" ref="R71:R77">"学前教育"</f>
        <v>学前教育</v>
      </c>
      <c r="S71" t="str">
        <f>"马鞍山师范高等专科学校"</f>
        <v>马鞍山师范高等专科学校</v>
      </c>
      <c r="T71" t="str">
        <f>"2012-07-04"</f>
        <v>2012-07-04</v>
      </c>
      <c r="U71" t="str">
        <f>"教师资格证（幼儿园）"</f>
        <v>教师资格证（幼儿园）</v>
      </c>
      <c r="V71" t="str">
        <f>"8"</f>
        <v>8</v>
      </c>
      <c r="W71" t="str">
        <f t="shared" si="23"/>
        <v>无</v>
      </c>
      <c r="X71" t="str">
        <f t="shared" si="26"/>
        <v>是</v>
      </c>
      <c r="Y71" t="str">
        <f>"安徽省合肥市庐阳区绿都花园幼儿园"</f>
        <v>安徽省合肥市庐阳区绿都花园幼儿园</v>
      </c>
      <c r="Z71" t="str">
        <f>"131366255675"</f>
        <v>131366255675</v>
      </c>
      <c r="AA71" t="str">
        <f>"合肥市庐阳区杏林小区"</f>
        <v>合肥市庐阳区杏林小区</v>
      </c>
      <c r="AB71" s="1" t="str">
        <f>"2007.9—2012.7马鞍山师范高等专科学校
2013.7—2015.6上海金果果幼儿园
2018.9—2020.7合肥市新站史蒂芬森昊天园幼儿园
2020.9—2022.6合肥庐阳北环阳光幼儿园
2022.6—至今合肥庐阳绿都花园幼儿园
"</f>
        <v>2007.9—2012.7马鞍山师范高等专科学校
2013.7—2015.6上海金果果幼儿园
2018.9—2020.7合肥市新站史蒂芬森昊天园幼儿园
2020.9—2022.6合肥庐阳北环阳光幼儿园
2022.6—至今合肥庐阳绿都花园幼儿园
</v>
      </c>
      <c r="AC71" t="str">
        <f>"2023.2优秀教师"</f>
        <v>2023.2优秀教师</v>
      </c>
      <c r="AD71" s="1" t="str">
        <f>"特长：美术、手工
爱好：看书"</f>
        <v>特长：美术、手工
爱好：看书</v>
      </c>
      <c r="AE71" t="str">
        <f>"夫妻|冀康德|自由职业||母子|冀宋怿|无|学生||||"</f>
        <v>夫妻|冀康德|自由职业||母子|冀宋怿|无|学生||||</v>
      </c>
      <c r="AF71" s="2">
        <v>44984.48884259259</v>
      </c>
      <c r="AG71">
        <v>1</v>
      </c>
      <c r="AH71">
        <v>1</v>
      </c>
      <c r="AI71">
        <v>0</v>
      </c>
      <c r="AJ71" t="s">
        <v>112</v>
      </c>
      <c r="AK71" s="4">
        <v>57.2</v>
      </c>
      <c r="AL71" s="4">
        <v>51.8</v>
      </c>
      <c r="AM71" s="4">
        <v>54.5</v>
      </c>
      <c r="AN71">
        <v>0</v>
      </c>
    </row>
    <row r="72" spans="1:40" ht="18" customHeight="1">
      <c r="A72" t="str">
        <f>"141720230226210456340376"</f>
        <v>141720230226210456340376</v>
      </c>
      <c r="B72" t="s">
        <v>44</v>
      </c>
      <c r="C72" t="str">
        <f>"朱蕾"</f>
        <v>朱蕾</v>
      </c>
      <c r="D72" t="str">
        <f t="shared" si="22"/>
        <v>女</v>
      </c>
      <c r="E72" t="str">
        <f>"1997-02"</f>
        <v>1997-02</v>
      </c>
      <c r="F72" t="str">
        <f>"安徽省瑶海区"</f>
        <v>安徽省瑶海区</v>
      </c>
      <c r="G72" t="str">
        <f aca="true" t="shared" si="28" ref="G72:G103">"汉族"</f>
        <v>汉族</v>
      </c>
      <c r="H72" t="str">
        <f>"共青团员"</f>
        <v>共青团员</v>
      </c>
      <c r="I72" t="str">
        <f>"340826199702246643"</f>
        <v>340826199702246643</v>
      </c>
      <c r="J72" t="str">
        <f>"已婚"</f>
        <v>已婚</v>
      </c>
      <c r="K72" t="str">
        <f>"大专"</f>
        <v>大专</v>
      </c>
      <c r="L72" t="str">
        <f>"大专"</f>
        <v>大专</v>
      </c>
      <c r="M72" t="str">
        <f>"学前教育"</f>
        <v>学前教育</v>
      </c>
      <c r="N72" t="str">
        <f>"合肥学院"</f>
        <v>合肥学院</v>
      </c>
      <c r="O72" t="str">
        <f>"2015-7"</f>
        <v>2015-7</v>
      </c>
      <c r="P72" t="str">
        <f>"大专"</f>
        <v>大专</v>
      </c>
      <c r="Q72" t="str">
        <f>"大专"</f>
        <v>大专</v>
      </c>
      <c r="R72" t="str">
        <f t="shared" si="27"/>
        <v>学前教育</v>
      </c>
      <c r="S72" t="str">
        <f>"合肥学院"</f>
        <v>合肥学院</v>
      </c>
      <c r="T72" t="str">
        <f>"2015-7"</f>
        <v>2015-7</v>
      </c>
      <c r="U72" t="str">
        <f>"幼儿教师资格证"</f>
        <v>幼儿教师资格证</v>
      </c>
      <c r="V72" t="str">
        <f>"5年"</f>
        <v>5年</v>
      </c>
      <c r="W72" t="str">
        <f t="shared" si="23"/>
        <v>无</v>
      </c>
      <c r="X72" t="str">
        <f t="shared" si="26"/>
        <v>是</v>
      </c>
      <c r="Y72" t="str">
        <f>"合肥市油坊新城幼儿园"</f>
        <v>合肥市油坊新城幼儿园</v>
      </c>
      <c r="Z72" t="str">
        <f>"18019971227"</f>
        <v>18019971227</v>
      </c>
      <c r="AA72" t="str">
        <f>"安徽省合肥市油坊新城"</f>
        <v>安徽省合肥市油坊新城</v>
      </c>
      <c r="AB72" s="1" t="str">
        <f>"2013.3-2015.7合肥学院 学生；
2014.7-2018.10在合肥天使幼教工作，后来在合肥市油坊新城幼儿园。本人对工作积极认真，对孩子有爱心，有耐心。"</f>
        <v>2013.3-2015.7合肥学院 学生；
2014.7-2018.10在合肥天使幼教工作，后来在合肥市油坊新城幼儿园。本人对工作积极认真，对孩子有爱心，有耐心。</v>
      </c>
      <c r="AC72" t="str">
        <f>"无"</f>
        <v>无</v>
      </c>
      <c r="AD72" t="str">
        <f>"手工"</f>
        <v>手工</v>
      </c>
      <c r="AE72" t="str">
        <f>"夫妻|许海峰|龙湖物业|员工|母女|许伊诺|合肥市油坊新城幼儿园|学生||||"</f>
        <v>夫妻|许海峰|龙湖物业|员工|母女|许伊诺|合肥市油坊新城幼儿园|学生||||</v>
      </c>
      <c r="AF72" s="2">
        <v>44985.479675925926</v>
      </c>
      <c r="AG72">
        <v>1</v>
      </c>
      <c r="AH72">
        <v>1</v>
      </c>
      <c r="AI72">
        <v>0</v>
      </c>
      <c r="AJ72" t="s">
        <v>113</v>
      </c>
      <c r="AK72" s="4">
        <v>57.7</v>
      </c>
      <c r="AL72" s="4">
        <v>54.4</v>
      </c>
      <c r="AM72" s="4">
        <v>56.05</v>
      </c>
      <c r="AN72">
        <v>0</v>
      </c>
    </row>
    <row r="73" spans="1:40" ht="18" customHeight="1">
      <c r="A73" t="str">
        <f>"141720230226211944340380"</f>
        <v>141720230226211944340380</v>
      </c>
      <c r="B73" t="s">
        <v>44</v>
      </c>
      <c r="C73" t="str">
        <f>"胡梦宇"</f>
        <v>胡梦宇</v>
      </c>
      <c r="D73" t="str">
        <f t="shared" si="22"/>
        <v>女</v>
      </c>
      <c r="E73" t="str">
        <f>"2001-09"</f>
        <v>2001-09</v>
      </c>
      <c r="F73" t="str">
        <f>"安徽省合肥市瑶海区"</f>
        <v>安徽省合肥市瑶海区</v>
      </c>
      <c r="G73" t="str">
        <f t="shared" si="28"/>
        <v>汉族</v>
      </c>
      <c r="H73" t="str">
        <f>"共青团员"</f>
        <v>共青团员</v>
      </c>
      <c r="I73" t="str">
        <f>"340102200109112528"</f>
        <v>340102200109112528</v>
      </c>
      <c r="J73" t="str">
        <f aca="true" t="shared" si="29" ref="J73:J79">"未婚"</f>
        <v>未婚</v>
      </c>
      <c r="K73" t="str">
        <f>"大学专科"</f>
        <v>大学专科</v>
      </c>
      <c r="L73" t="str">
        <f>"大学专科"</f>
        <v>大学专科</v>
      </c>
      <c r="M73" t="str">
        <f>"学前教育"</f>
        <v>学前教育</v>
      </c>
      <c r="N73" t="str">
        <f>"滁州城市职业学院"</f>
        <v>滁州城市职业学院</v>
      </c>
      <c r="O73" t="str">
        <f>"2022年7月1日"</f>
        <v>2022年7月1日</v>
      </c>
      <c r="P73" t="str">
        <f>"大学专科"</f>
        <v>大学专科</v>
      </c>
      <c r="Q73" t="str">
        <f>"大学专科"</f>
        <v>大学专科</v>
      </c>
      <c r="R73" t="str">
        <f t="shared" si="27"/>
        <v>学前教育</v>
      </c>
      <c r="S73" t="str">
        <f>"滁州城市职业学院"</f>
        <v>滁州城市职业学院</v>
      </c>
      <c r="T73" t="str">
        <f>"2022年7月1日"</f>
        <v>2022年7月1日</v>
      </c>
      <c r="U73" t="str">
        <f>"幼儿教师资格证"</f>
        <v>幼儿教师资格证</v>
      </c>
      <c r="V73" t="str">
        <f>"1年"</f>
        <v>1年</v>
      </c>
      <c r="W73" t="str">
        <f t="shared" si="23"/>
        <v>无</v>
      </c>
      <c r="X73" t="str">
        <f t="shared" si="26"/>
        <v>是</v>
      </c>
      <c r="Y73" t="str">
        <f>"合肥市林旭华阳幼儿园"</f>
        <v>合肥市林旭华阳幼儿园</v>
      </c>
      <c r="Z73" t="str">
        <f>"19965177929"</f>
        <v>19965177929</v>
      </c>
      <c r="AA73" t="str">
        <f>"合肥市瑶海区宝业城市绿苑西区17栋901室"</f>
        <v>合肥市瑶海区宝业城市绿苑西区17栋901室</v>
      </c>
      <c r="AB73" s="1" t="str">
        <f>"2016.9-2019.6合肥市育英高级中学
2019.9-2022.7滁州城市职业学院
2022.9-至今合肥市林旭华阳幼儿园
"</f>
        <v>2016.9-2019.6合肥市育英高级中学
2019.9-2022.7滁州城市职业学院
2022.9-至今合肥市林旭华阳幼儿园
</v>
      </c>
      <c r="AC73" t="str">
        <f>"无"</f>
        <v>无</v>
      </c>
      <c r="AD73" t="str">
        <f>"唱歌、跳舞、钢琴、美术"</f>
        <v>唱歌、跳舞、钢琴、美术</v>
      </c>
      <c r="AE73" t="str">
        <f>"父女|胡进|无|无|母女|胡晓燕|无|无||||"</f>
        <v>父女|胡进|无|无|母女|胡晓燕|无|无||||</v>
      </c>
      <c r="AF73" s="2">
        <v>44985.48351851852</v>
      </c>
      <c r="AG73">
        <v>1</v>
      </c>
      <c r="AH73">
        <v>1</v>
      </c>
      <c r="AI73">
        <v>0</v>
      </c>
      <c r="AJ73" t="s">
        <v>114</v>
      </c>
      <c r="AK73" s="4">
        <v>65.6</v>
      </c>
      <c r="AL73" s="4">
        <v>57.6</v>
      </c>
      <c r="AM73" s="4">
        <v>61.599999999999994</v>
      </c>
      <c r="AN73">
        <v>0</v>
      </c>
    </row>
    <row r="74" spans="1:40" ht="18" customHeight="1">
      <c r="A74" t="str">
        <f>"141720230226212115340381"</f>
        <v>141720230226212115340381</v>
      </c>
      <c r="B74" t="s">
        <v>44</v>
      </c>
      <c r="C74" t="str">
        <f>"任勤"</f>
        <v>任勤</v>
      </c>
      <c r="D74" t="str">
        <f t="shared" si="22"/>
        <v>女</v>
      </c>
      <c r="E74" t="str">
        <f>"1999.09.03"</f>
        <v>1999.09.03</v>
      </c>
      <c r="F74" t="str">
        <f>"安徽芜湖"</f>
        <v>安徽芜湖</v>
      </c>
      <c r="G74" t="str">
        <f t="shared" si="28"/>
        <v>汉族</v>
      </c>
      <c r="H74" t="str">
        <f>"共青团员"</f>
        <v>共青团员</v>
      </c>
      <c r="I74" t="str">
        <f>"342623199909038966"</f>
        <v>342623199909038966</v>
      </c>
      <c r="J74" t="str">
        <f t="shared" si="29"/>
        <v>未婚</v>
      </c>
      <c r="K74" t="str">
        <f>"大专"</f>
        <v>大专</v>
      </c>
      <c r="L74" t="str">
        <f>"大专"</f>
        <v>大专</v>
      </c>
      <c r="M74" t="str">
        <f>"学前教育"</f>
        <v>学前教育</v>
      </c>
      <c r="N74" t="str">
        <f>"池州职业技术学院"</f>
        <v>池州职业技术学院</v>
      </c>
      <c r="O74" t="str">
        <f>"2021.7"</f>
        <v>2021.7</v>
      </c>
      <c r="P74" t="str">
        <f>"大专"</f>
        <v>大专</v>
      </c>
      <c r="Q74" t="str">
        <f>"大专"</f>
        <v>大专</v>
      </c>
      <c r="R74" t="str">
        <f t="shared" si="27"/>
        <v>学前教育</v>
      </c>
      <c r="S74" t="str">
        <f>"池州职业技术学院"</f>
        <v>池州职业技术学院</v>
      </c>
      <c r="T74" t="str">
        <f>"2021.7"</f>
        <v>2021.7</v>
      </c>
      <c r="U74" t="str">
        <f>"幼儿教师资格证  普通话二甲证书"</f>
        <v>幼儿教师资格证  普通话二甲证书</v>
      </c>
      <c r="V74" t="str">
        <f>"2年"</f>
        <v>2年</v>
      </c>
      <c r="W74" t="str">
        <f t="shared" si="23"/>
        <v>无</v>
      </c>
      <c r="X74" t="str">
        <f t="shared" si="26"/>
        <v>是</v>
      </c>
      <c r="Y74" t="str">
        <f>"无为市实验幼儿园教育集团"</f>
        <v>无为市实验幼儿园教育集团</v>
      </c>
      <c r="Z74" t="str">
        <f>"18356350725"</f>
        <v>18356350725</v>
      </c>
      <c r="AA74" t="str">
        <f>"芜湖无为"</f>
        <v>芜湖无为</v>
      </c>
      <c r="AB74" s="1" t="str">
        <f>"2015.9.1—2018.7.1无为第三中学 学生
2018.9.1—2021.7.1 池州职业技术学院 学生
2021.7.1—2021.9.1 舞蹈机构 舞蹈老师
2022.2——至今 无为市实验幼儿园教育集团"</f>
        <v>2015.9.1—2018.7.1无为第三中学 学生
2018.9.1—2021.7.1 池州职业技术学院 学生
2021.7.1—2021.9.1 舞蹈机构 舞蹈老师
2022.2——至今 无为市实验幼儿园教育集团</v>
      </c>
      <c r="AC74" t="str">
        <f>"无"</f>
        <v>无</v>
      </c>
      <c r="AD74" t="str">
        <f>"爱好广泛，基本都会。"</f>
        <v>爱好广泛，基本都会。</v>
      </c>
      <c r="AE74" t="str">
        <f>"父亲|任俊红|个体||母亲|吴昌芳|个体|||||"</f>
        <v>父亲|任俊红|个体||母亲|吴昌芳|个体|||||</v>
      </c>
      <c r="AF74" s="2">
        <v>44984.561064814814</v>
      </c>
      <c r="AG74">
        <v>1</v>
      </c>
      <c r="AH74">
        <v>1</v>
      </c>
      <c r="AI74">
        <v>0</v>
      </c>
      <c r="AJ74" t="s">
        <v>115</v>
      </c>
      <c r="AK74" s="4" t="s">
        <v>264</v>
      </c>
      <c r="AL74" s="4" t="s">
        <v>264</v>
      </c>
      <c r="AM74" s="4" t="s">
        <v>264</v>
      </c>
      <c r="AN74">
        <v>0</v>
      </c>
    </row>
    <row r="75" spans="1:40" ht="18" customHeight="1">
      <c r="A75" t="str">
        <f>"141720230226212541340382"</f>
        <v>141720230226212541340382</v>
      </c>
      <c r="B75" t="s">
        <v>44</v>
      </c>
      <c r="C75" t="str">
        <f>"刘雪"</f>
        <v>刘雪</v>
      </c>
      <c r="D75" t="str">
        <f t="shared" si="22"/>
        <v>女</v>
      </c>
      <c r="E75" t="str">
        <f>"2001-03-07"</f>
        <v>2001-03-07</v>
      </c>
      <c r="F75" t="str">
        <f>"安徽省亳州市"</f>
        <v>安徽省亳州市</v>
      </c>
      <c r="G75" t="str">
        <f t="shared" si="28"/>
        <v>汉族</v>
      </c>
      <c r="H75" t="str">
        <f>"群众"</f>
        <v>群众</v>
      </c>
      <c r="I75" t="str">
        <f>"341623200103072625"</f>
        <v>341623200103072625</v>
      </c>
      <c r="J75" t="str">
        <f t="shared" si="29"/>
        <v>未婚</v>
      </c>
      <c r="K75" t="str">
        <f>"本科"</f>
        <v>本科</v>
      </c>
      <c r="L75" t="str">
        <f>"本科"</f>
        <v>本科</v>
      </c>
      <c r="M75" t="str">
        <f>"安徽师范大学"</f>
        <v>安徽师范大学</v>
      </c>
      <c r="N75" t="str">
        <f>"大专"</f>
        <v>大专</v>
      </c>
      <c r="O75" t="str">
        <f>"2017-07-01"</f>
        <v>2017-07-01</v>
      </c>
      <c r="P75" t="str">
        <f>"大专"</f>
        <v>大专</v>
      </c>
      <c r="Q75" t="str">
        <f>"专科"</f>
        <v>专科</v>
      </c>
      <c r="R75" t="str">
        <f t="shared" si="27"/>
        <v>学前教育</v>
      </c>
      <c r="S75" t="str">
        <f>"合肥学院"</f>
        <v>合肥学院</v>
      </c>
      <c r="T75" t="str">
        <f>"2017-07-01"</f>
        <v>2017-07-01</v>
      </c>
      <c r="U75" t="str">
        <f>"幼儿园教师资格"</f>
        <v>幼儿园教师资格</v>
      </c>
      <c r="V75" t="str">
        <f>"8年"</f>
        <v>8年</v>
      </c>
      <c r="W75" t="str">
        <f t="shared" si="23"/>
        <v>无</v>
      </c>
      <c r="X75" t="str">
        <f>"否"</f>
        <v>否</v>
      </c>
      <c r="Y75" t="str">
        <f>"长丰双凤徐桥苑幼儿园"</f>
        <v>长丰双凤徐桥苑幼儿园</v>
      </c>
      <c r="Z75" t="str">
        <f>"18788834578"</f>
        <v>18788834578</v>
      </c>
      <c r="AA75" t="str">
        <f>"合肥市长丰县阿奎利亚"</f>
        <v>合肥市长丰县阿奎利亚</v>
      </c>
      <c r="AB75" s="1" t="str">
        <f>"2015.3-2017.7合肥学院 学生 2016.2-至今长丰双凤徐桥苑幼儿园
"</f>
        <v>2015.3-2017.7合肥学院 学生 2016.2-至今长丰双凤徐桥苑幼儿园
</v>
      </c>
      <c r="AC75" s="1" t="str">
        <f>"奖励：2018年2019年2020年2022年分别在园里获得优秀教师证书
"</f>
        <v>奖励：2018年2019年2020年2022年分别在园里获得优秀教师证书
</v>
      </c>
      <c r="AD75" t="str">
        <f>"舞蹈"</f>
        <v>舞蹈</v>
      </c>
      <c r="AE75" t="str">
        <f>"父女|刘成村|上海光明村实业有限公司|面点师|母女|管侠|个体||兄妹|刘子良|北京万维信达科技有限公司|工程师"</f>
        <v>父女|刘成村|上海光明村实业有限公司|面点师|母女|管侠|个体||兄妹|刘子良|北京万维信达科技有限公司|工程师</v>
      </c>
      <c r="AF75" s="2">
        <v>44984.531435185185</v>
      </c>
      <c r="AG75">
        <v>1</v>
      </c>
      <c r="AH75">
        <v>1</v>
      </c>
      <c r="AI75">
        <v>0</v>
      </c>
      <c r="AJ75" t="s">
        <v>116</v>
      </c>
      <c r="AK75" s="4">
        <v>61.6</v>
      </c>
      <c r="AL75" s="4">
        <v>59.1</v>
      </c>
      <c r="AM75" s="4">
        <v>60.35</v>
      </c>
      <c r="AN75">
        <v>0</v>
      </c>
    </row>
    <row r="76" spans="1:40" ht="18" customHeight="1">
      <c r="A76" t="str">
        <f>"141720230226212642340383"</f>
        <v>141720230226212642340383</v>
      </c>
      <c r="B76" t="s">
        <v>44</v>
      </c>
      <c r="C76" t="str">
        <f>"张逸凡"</f>
        <v>张逸凡</v>
      </c>
      <c r="D76" t="str">
        <f t="shared" si="22"/>
        <v>女</v>
      </c>
      <c r="E76" t="str">
        <f>"1999-8"</f>
        <v>1999-8</v>
      </c>
      <c r="F76" t="str">
        <f>"安徽池州市"</f>
        <v>安徽池州市</v>
      </c>
      <c r="G76" t="str">
        <f t="shared" si="28"/>
        <v>汉族</v>
      </c>
      <c r="H76" t="str">
        <f>"共青团员"</f>
        <v>共青团员</v>
      </c>
      <c r="I76" t="str">
        <f>"342921199908054028"</f>
        <v>342921199908054028</v>
      </c>
      <c r="J76" t="str">
        <f t="shared" si="29"/>
        <v>未婚</v>
      </c>
      <c r="K76" t="str">
        <f>"本科"</f>
        <v>本科</v>
      </c>
      <c r="L76" t="str">
        <f>"学士"</f>
        <v>学士</v>
      </c>
      <c r="M76" t="str">
        <f>"学前教育"</f>
        <v>学前教育</v>
      </c>
      <c r="N76" t="str">
        <f>"滁州学院"</f>
        <v>滁州学院</v>
      </c>
      <c r="O76" t="str">
        <f>"2022-7"</f>
        <v>2022-7</v>
      </c>
      <c r="P76" t="str">
        <f>"本科"</f>
        <v>本科</v>
      </c>
      <c r="Q76" t="str">
        <f>"学士"</f>
        <v>学士</v>
      </c>
      <c r="R76" t="str">
        <f t="shared" si="27"/>
        <v>学前教育</v>
      </c>
      <c r="S76" t="str">
        <f>"滁州学院"</f>
        <v>滁州学院</v>
      </c>
      <c r="T76" t="str">
        <f>"2022-7"</f>
        <v>2022-7</v>
      </c>
      <c r="U76" t="str">
        <f>"幼儿园教师资格证"</f>
        <v>幼儿园教师资格证</v>
      </c>
      <c r="V76" t="str">
        <f>"无"</f>
        <v>无</v>
      </c>
      <c r="W76" t="str">
        <f t="shared" si="23"/>
        <v>无</v>
      </c>
      <c r="X76" t="str">
        <f aca="true" t="shared" si="30" ref="X76:X94">"是"</f>
        <v>是</v>
      </c>
      <c r="Y76" t="str">
        <f>"无"</f>
        <v>无</v>
      </c>
      <c r="Z76" t="str">
        <f>"13485661319"</f>
        <v>13485661319</v>
      </c>
      <c r="AA76" t="str">
        <f>"安徽省池州市东至县"</f>
        <v>安徽省池州市东至县</v>
      </c>
      <c r="AB76" s="1" t="str">
        <f>"2014.9-2017.6东流中学 学生
2017.9-2020.6安徽城市管理职业学院 学生
2020.9-2022.6滁州学院 学生"</f>
        <v>2014.9-2017.6东流中学 学生
2017.9-2020.6安徽城市管理职业学院 学生
2020.9-2022.6滁州学院 学生</v>
      </c>
      <c r="AC76" t="str">
        <f aca="true" t="shared" si="31" ref="AC76:AC85">"无"</f>
        <v>无</v>
      </c>
      <c r="AD76" t="str">
        <f>"美术、手工"</f>
        <v>美术、手工</v>
      </c>
      <c r="AE76" t="str">
        <f>"父亲|张正宏|无|无|母亲|闻祥秀|无|无||||"</f>
        <v>父亲|张正宏|无|无|母亲|闻祥秀|无|无||||</v>
      </c>
      <c r="AF76" s="2">
        <v>44984.49599537037</v>
      </c>
      <c r="AG76">
        <v>1</v>
      </c>
      <c r="AH76">
        <v>1</v>
      </c>
      <c r="AI76">
        <v>0</v>
      </c>
      <c r="AJ76" t="s">
        <v>117</v>
      </c>
      <c r="AK76" s="4">
        <v>73.5</v>
      </c>
      <c r="AL76" s="4">
        <v>62</v>
      </c>
      <c r="AM76" s="4">
        <v>67.75</v>
      </c>
      <c r="AN76">
        <v>0</v>
      </c>
    </row>
    <row r="77" spans="1:40" ht="18" customHeight="1">
      <c r="A77" t="str">
        <f>"141720230226213556340384"</f>
        <v>141720230226213556340384</v>
      </c>
      <c r="B77" t="s">
        <v>44</v>
      </c>
      <c r="C77" t="str">
        <f>"李芮"</f>
        <v>李芮</v>
      </c>
      <c r="D77" t="str">
        <f t="shared" si="22"/>
        <v>女</v>
      </c>
      <c r="E77" t="str">
        <f>"1999-7"</f>
        <v>1999-7</v>
      </c>
      <c r="F77" t="str">
        <f>"六安市霍邱县"</f>
        <v>六安市霍邱县</v>
      </c>
      <c r="G77" t="str">
        <f t="shared" si="28"/>
        <v>汉族</v>
      </c>
      <c r="H77" t="str">
        <f>"群众"</f>
        <v>群众</v>
      </c>
      <c r="I77" t="str">
        <f>"342423199907132085"</f>
        <v>342423199907132085</v>
      </c>
      <c r="J77" t="str">
        <f t="shared" si="29"/>
        <v>未婚</v>
      </c>
      <c r="K77" t="str">
        <f>"大专"</f>
        <v>大专</v>
      </c>
      <c r="L77" t="str">
        <f>"大专"</f>
        <v>大专</v>
      </c>
      <c r="M77" t="str">
        <f>"学前教育"</f>
        <v>学前教育</v>
      </c>
      <c r="N77" t="str">
        <f>"合肥幼儿师范高等专科学校"</f>
        <v>合肥幼儿师范高等专科学校</v>
      </c>
      <c r="O77" t="str">
        <f>"2019-7-5"</f>
        <v>2019-7-5</v>
      </c>
      <c r="P77" t="str">
        <f>"大专"</f>
        <v>大专</v>
      </c>
      <c r="Q77" t="str">
        <f>"大专"</f>
        <v>大专</v>
      </c>
      <c r="R77" t="str">
        <f t="shared" si="27"/>
        <v>学前教育</v>
      </c>
      <c r="S77" t="str">
        <f>"合肥幼儿师范高等专科学校"</f>
        <v>合肥幼儿师范高等专科学校</v>
      </c>
      <c r="T77" t="str">
        <f>"2019-7-5"</f>
        <v>2019-7-5</v>
      </c>
      <c r="U77" t="str">
        <f>"幼儿园教师资格证"</f>
        <v>幼儿园教师资格证</v>
      </c>
      <c r="V77" t="str">
        <f>"2018.12-至今"</f>
        <v>2018.12-至今</v>
      </c>
      <c r="W77" t="str">
        <f>"三级"</f>
        <v>三级</v>
      </c>
      <c r="X77" t="str">
        <f t="shared" si="30"/>
        <v>是</v>
      </c>
      <c r="Y77" t="str">
        <f>"合肥锦绣嘉苑幼儿园"</f>
        <v>合肥锦绣嘉苑幼儿园</v>
      </c>
      <c r="Z77" t="str">
        <f>"13966796451"</f>
        <v>13966796451</v>
      </c>
      <c r="AA77" t="str">
        <f>"锦绣嘉苑"</f>
        <v>锦绣嘉苑</v>
      </c>
      <c r="AB77" s="1" t="str">
        <f>"2014.9-2019.7合肥幼儿师范高等专科学校学生
2018.12-至今合肥锦绣嘉苑幼儿园员工"</f>
        <v>2014.9-2019.7合肥幼儿师范高等专科学校学生
2018.12-至今合肥锦绣嘉苑幼儿园员工</v>
      </c>
      <c r="AC77" t="str">
        <f t="shared" si="31"/>
        <v>无</v>
      </c>
      <c r="AD77" t="str">
        <f>"喜欢音乐，钢琴弹唱，舞蹈以及讲故事"</f>
        <v>喜欢音乐，钢琴弹唱，舞蹈以及讲故事</v>
      </c>
      <c r="AE77" t="str">
        <f>"母亲|李莉|个体||父亲|李文相|个体||弟弟|李乐|安徽师范大学|"</f>
        <v>母亲|李莉|个体||父亲|李文相|个体||弟弟|李乐|安徽师范大学|</v>
      </c>
      <c r="AF77" s="2">
        <v>44984.49644675926</v>
      </c>
      <c r="AG77">
        <v>1</v>
      </c>
      <c r="AH77">
        <v>1</v>
      </c>
      <c r="AI77">
        <v>0</v>
      </c>
      <c r="AJ77" t="s">
        <v>118</v>
      </c>
      <c r="AK77" s="4">
        <v>51.7</v>
      </c>
      <c r="AL77" s="4">
        <v>60</v>
      </c>
      <c r="AM77" s="4">
        <v>55.85</v>
      </c>
      <c r="AN77">
        <v>0</v>
      </c>
    </row>
    <row r="78" spans="1:40" ht="18" customHeight="1">
      <c r="A78" t="str">
        <f>"141720230226213752340385"</f>
        <v>141720230226213752340385</v>
      </c>
      <c r="B78" t="s">
        <v>44</v>
      </c>
      <c r="C78" t="str">
        <f>"徐怡凡"</f>
        <v>徐怡凡</v>
      </c>
      <c r="D78" t="str">
        <f t="shared" si="22"/>
        <v>女</v>
      </c>
      <c r="E78" t="str">
        <f>"2002-01-23"</f>
        <v>2002-01-23</v>
      </c>
      <c r="F78" t="str">
        <f>"安徽省合肥市"</f>
        <v>安徽省合肥市</v>
      </c>
      <c r="G78" t="str">
        <f t="shared" si="28"/>
        <v>汉族</v>
      </c>
      <c r="H78" t="str">
        <f aca="true" t="shared" si="32" ref="H78:H83">"共青团员"</f>
        <v>共青团员</v>
      </c>
      <c r="I78" t="str">
        <f>"340121200201233989"</f>
        <v>340121200201233989</v>
      </c>
      <c r="J78" t="str">
        <f t="shared" si="29"/>
        <v>未婚</v>
      </c>
      <c r="K78" t="str">
        <f>"本科"</f>
        <v>本科</v>
      </c>
      <c r="L78" t="str">
        <f>"学士学位"</f>
        <v>学士学位</v>
      </c>
      <c r="M78" t="str">
        <f>"学前教育专业"</f>
        <v>学前教育专业</v>
      </c>
      <c r="N78" t="str">
        <f>"巢湖学院"</f>
        <v>巢湖学院</v>
      </c>
      <c r="O78" t="str">
        <f>"2023年6月"</f>
        <v>2023年6月</v>
      </c>
      <c r="P78" t="str">
        <f>"本科"</f>
        <v>本科</v>
      </c>
      <c r="Q78" t="str">
        <f>"学士学位"</f>
        <v>学士学位</v>
      </c>
      <c r="R78" t="str">
        <f>"学前教育专业"</f>
        <v>学前教育专业</v>
      </c>
      <c r="S78" t="str">
        <f>"巢湖学院"</f>
        <v>巢湖学院</v>
      </c>
      <c r="T78" t="str">
        <f>"2023年6月"</f>
        <v>2023年6月</v>
      </c>
      <c r="U78" t="str">
        <f>"幼儿教师资格证，普通话二甲证书，大学英语四、六级证书"</f>
        <v>幼儿教师资格证，普通话二甲证书，大学英语四、六级证书</v>
      </c>
      <c r="V78" t="str">
        <f>"2022年9月至2022年12月任幼儿园班主任助理"</f>
        <v>2022年9月至2022年12月任幼儿园班主任助理</v>
      </c>
      <c r="W78" t="str">
        <f>"无"</f>
        <v>无</v>
      </c>
      <c r="X78" t="str">
        <f t="shared" si="30"/>
        <v>是</v>
      </c>
      <c r="Y78" t="str">
        <f>"无"</f>
        <v>无</v>
      </c>
      <c r="Z78" t="str">
        <f>"18356047042"</f>
        <v>18356047042</v>
      </c>
      <c r="AA78" t="str">
        <f>"安徽省合肥市瑶海区"</f>
        <v>安徽省合肥市瑶海区</v>
      </c>
      <c r="AB78" s="1" t="str">
        <f>"2016.9-2019.6 肥东圣泉中学 学生;
2019.9-2023.6 巢湖学院 学生
2021.7-2022.9 百盛公司 学生兼职"</f>
        <v>2016.9-2019.6 肥东圣泉中学 学生;
2019.9-2023.6 巢湖学院 学生
2021.7-2022.9 百盛公司 学生兼职</v>
      </c>
      <c r="AC78" t="str">
        <f t="shared" si="31"/>
        <v>无</v>
      </c>
      <c r="AD78" s="1" t="str">
        <f>"特长：有良好的语言表达能力与创意思维能力
爱好旅游及各种体育运动"</f>
        <v>特长：有良好的语言表达能力与创意思维能力
爱好旅游及各种体育运动</v>
      </c>
      <c r="AE78" t="str">
        <f>"母亲|程娟|私营企业|店长|父亲|徐之虎|私营企业|员工||||"</f>
        <v>母亲|程娟|私营企业|店长|父亲|徐之虎|私营企业|员工||||</v>
      </c>
      <c r="AF78" s="2">
        <v>44984.49799768518</v>
      </c>
      <c r="AG78">
        <v>1</v>
      </c>
      <c r="AH78">
        <v>1</v>
      </c>
      <c r="AI78">
        <v>0</v>
      </c>
      <c r="AJ78" t="s">
        <v>119</v>
      </c>
      <c r="AK78" s="4">
        <v>75.9</v>
      </c>
      <c r="AL78" s="4">
        <v>67.1</v>
      </c>
      <c r="AM78" s="4">
        <v>71.5</v>
      </c>
      <c r="AN78">
        <v>0</v>
      </c>
    </row>
    <row r="79" spans="1:40" ht="18" customHeight="1">
      <c r="A79" t="str">
        <f>"141720230226214147340386"</f>
        <v>141720230226214147340386</v>
      </c>
      <c r="B79" t="s">
        <v>44</v>
      </c>
      <c r="C79" t="str">
        <f>"金璐"</f>
        <v>金璐</v>
      </c>
      <c r="D79" t="str">
        <f t="shared" si="22"/>
        <v>女</v>
      </c>
      <c r="E79" t="str">
        <f>"1999-08"</f>
        <v>1999-08</v>
      </c>
      <c r="F79" t="str">
        <f>"安徽省淮南市"</f>
        <v>安徽省淮南市</v>
      </c>
      <c r="G79" t="str">
        <f t="shared" si="28"/>
        <v>汉族</v>
      </c>
      <c r="H79" t="str">
        <f t="shared" si="32"/>
        <v>共青团员</v>
      </c>
      <c r="I79" t="str">
        <f>"342422199908170482"</f>
        <v>342422199908170482</v>
      </c>
      <c r="J79" t="str">
        <f t="shared" si="29"/>
        <v>未婚</v>
      </c>
      <c r="K79" t="str">
        <f>"本科"</f>
        <v>本科</v>
      </c>
      <c r="L79" t="str">
        <f>"学士"</f>
        <v>学士</v>
      </c>
      <c r="M79" t="str">
        <f>"学前教育"</f>
        <v>学前教育</v>
      </c>
      <c r="N79" t="str">
        <f>"安徽师范大学"</f>
        <v>安徽师范大学</v>
      </c>
      <c r="O79" t="str">
        <f>"2023年6月"</f>
        <v>2023年6月</v>
      </c>
      <c r="P79" t="str">
        <f>"本科"</f>
        <v>本科</v>
      </c>
      <c r="Q79" t="str">
        <f>"学士"</f>
        <v>学士</v>
      </c>
      <c r="R79" t="str">
        <f aca="true" t="shared" si="33" ref="R79:R98">"学前教育"</f>
        <v>学前教育</v>
      </c>
      <c r="S79" t="str">
        <f>"安徽师范大学"</f>
        <v>安徽师范大学</v>
      </c>
      <c r="T79" t="str">
        <f>"2023年6月"</f>
        <v>2023年6月</v>
      </c>
      <c r="U79" t="str">
        <f>"幼儿园教师资格证"</f>
        <v>幼儿园教师资格证</v>
      </c>
      <c r="V79" t="str">
        <f>"无"</f>
        <v>无</v>
      </c>
      <c r="W79" t="str">
        <f>"无"</f>
        <v>无</v>
      </c>
      <c r="X79" t="str">
        <f t="shared" si="30"/>
        <v>是</v>
      </c>
      <c r="Y79" t="str">
        <f>"无"</f>
        <v>无</v>
      </c>
      <c r="Z79" t="str">
        <f>"18205542429"</f>
        <v>18205542429</v>
      </c>
      <c r="AA79" t="str">
        <f>"安徽省淮南市寿县宾阳小区44栋2单元403"</f>
        <v>安徽省淮南市寿县宾阳小区44栋2单元403</v>
      </c>
      <c r="AB79" t="str">
        <f>"2015.9-2018.6寿县中学 学生；2018.6-2021.6桐城师范高等专科学校 学生；2021.6-2023.6安徽师范大学 学生"</f>
        <v>2015.9-2018.6寿县中学 学生；2018.6-2021.6桐城师范高等专科学校 学生；2021.6-2023.6安徽师范大学 学生</v>
      </c>
      <c r="AC79" t="str">
        <f t="shared" si="31"/>
        <v>无</v>
      </c>
      <c r="AD79" t="str">
        <f>"无"</f>
        <v>无</v>
      </c>
      <c r="AE79" t="str">
        <f>"父女|金志军|双桥中学|教师|母女|王梅霞|双桥小学|教师||||"</f>
        <v>父女|金志军|双桥中学|教师|母女|王梅霞|双桥小学|教师||||</v>
      </c>
      <c r="AF79" s="2">
        <v>44984.49984953704</v>
      </c>
      <c r="AG79">
        <v>1</v>
      </c>
      <c r="AH79">
        <v>1</v>
      </c>
      <c r="AI79">
        <v>0</v>
      </c>
      <c r="AJ79" t="s">
        <v>120</v>
      </c>
      <c r="AK79" s="4">
        <v>60.5</v>
      </c>
      <c r="AL79" s="4">
        <v>61.7</v>
      </c>
      <c r="AM79" s="4">
        <v>61.1</v>
      </c>
      <c r="AN79">
        <v>0</v>
      </c>
    </row>
    <row r="80" spans="1:40" ht="18" customHeight="1">
      <c r="A80" t="str">
        <f>"141720230226214730340388"</f>
        <v>141720230226214730340388</v>
      </c>
      <c r="B80" t="s">
        <v>44</v>
      </c>
      <c r="C80" t="str">
        <f>"吴圆圆"</f>
        <v>吴圆圆</v>
      </c>
      <c r="D80" t="str">
        <f t="shared" si="22"/>
        <v>女</v>
      </c>
      <c r="E80" t="str">
        <f>"1994-11"</f>
        <v>1994-11</v>
      </c>
      <c r="F80" t="str">
        <f>"安徽池州"</f>
        <v>安徽池州</v>
      </c>
      <c r="G80" t="str">
        <f t="shared" si="28"/>
        <v>汉族</v>
      </c>
      <c r="H80" t="str">
        <f t="shared" si="32"/>
        <v>共青团员</v>
      </c>
      <c r="I80" t="str">
        <f>"342922199411181765"</f>
        <v>342922199411181765</v>
      </c>
      <c r="J80" t="str">
        <f>"已婚"</f>
        <v>已婚</v>
      </c>
      <c r="K80" t="str">
        <f>"本科"</f>
        <v>本科</v>
      </c>
      <c r="L80" t="str">
        <f>"学士"</f>
        <v>学士</v>
      </c>
      <c r="M80" t="str">
        <f>"学前教育"</f>
        <v>学前教育</v>
      </c>
      <c r="N80" t="str">
        <f>"巢湖学院"</f>
        <v>巢湖学院</v>
      </c>
      <c r="O80" t="str">
        <f>"2018.07"</f>
        <v>2018.07</v>
      </c>
      <c r="P80" t="str">
        <f>"本科"</f>
        <v>本科</v>
      </c>
      <c r="Q80" t="str">
        <f>"学士"</f>
        <v>学士</v>
      </c>
      <c r="R80" t="str">
        <f t="shared" si="33"/>
        <v>学前教育</v>
      </c>
      <c r="S80" t="str">
        <f>"巢湖学院"</f>
        <v>巢湖学院</v>
      </c>
      <c r="T80" t="str">
        <f>"2018.07"</f>
        <v>2018.07</v>
      </c>
      <c r="U80" t="str">
        <f>"幼儿教师资格证、二甲普通话证书"</f>
        <v>幼儿教师资格证、二甲普通话证书</v>
      </c>
      <c r="V80" t="str">
        <f>"4年"</f>
        <v>4年</v>
      </c>
      <c r="W80" t="str">
        <f>"二级教师"</f>
        <v>二级教师</v>
      </c>
      <c r="X80" t="str">
        <f t="shared" si="30"/>
        <v>是</v>
      </c>
      <c r="Y80" t="str">
        <f>"合肥南师大幼儿园"</f>
        <v>合肥南师大幼儿园</v>
      </c>
      <c r="Z80" t="str">
        <f>"18256004571"</f>
        <v>18256004571</v>
      </c>
      <c r="AA80" t="str">
        <f>"安徽省合肥市新站区昊天园"</f>
        <v>安徽省合肥市新站区昊天园</v>
      </c>
      <c r="AB80" s="1" t="str">
        <f>"2010.9-2013.6 石台中学 学生
2013.9-2016.6 池州学院 学生
2016.9-2018.6 巢湖学院 学生
2018.9-2019.6 南京秦虹幼儿园 教师
2019.9-至今 合肥南师大幼儿园 教师"</f>
        <v>2010.9-2013.6 石台中学 学生
2013.9-2016.6 池州学院 学生
2016.9-2018.6 巢湖学院 学生
2018.9-2019.6 南京秦虹幼儿园 教师
2019.9-至今 合肥南师大幼儿园 教师</v>
      </c>
      <c r="AC80" t="str">
        <f t="shared" si="31"/>
        <v>无</v>
      </c>
      <c r="AD80" t="str">
        <f>"无"</f>
        <v>无</v>
      </c>
      <c r="AE80" t="str">
        <f>"父女|吴全江|务农|无|母女|陈六女|务农|无|夫妻|施申瑞|务工|无"</f>
        <v>父女|吴全江|务农|无|母女|陈六女|务农|无|夫妻|施申瑞|务工|无</v>
      </c>
      <c r="AF80" s="2">
        <v>44984.499293981484</v>
      </c>
      <c r="AG80">
        <v>1</v>
      </c>
      <c r="AH80">
        <v>1</v>
      </c>
      <c r="AI80">
        <v>0</v>
      </c>
      <c r="AJ80" t="s">
        <v>121</v>
      </c>
      <c r="AK80" s="4">
        <v>75.7</v>
      </c>
      <c r="AL80" s="4">
        <v>61.5</v>
      </c>
      <c r="AM80" s="4">
        <v>68.6</v>
      </c>
      <c r="AN80">
        <v>0</v>
      </c>
    </row>
    <row r="81" spans="1:40" ht="18" customHeight="1">
      <c r="A81" t="str">
        <f>"141720230226215056340390"</f>
        <v>141720230226215056340390</v>
      </c>
      <c r="B81" t="s">
        <v>44</v>
      </c>
      <c r="C81" t="str">
        <f>"张文静"</f>
        <v>张文静</v>
      </c>
      <c r="D81" t="str">
        <f t="shared" si="22"/>
        <v>女</v>
      </c>
      <c r="E81" t="str">
        <f>"2000-10-4"</f>
        <v>2000-10-4</v>
      </c>
      <c r="F81" t="str">
        <f>"安徽合肥"</f>
        <v>安徽合肥</v>
      </c>
      <c r="G81" t="str">
        <f t="shared" si="28"/>
        <v>汉族</v>
      </c>
      <c r="H81" t="str">
        <f t="shared" si="32"/>
        <v>共青团员</v>
      </c>
      <c r="I81" t="str">
        <f>"34012120001004400X"</f>
        <v>34012120001004400X</v>
      </c>
      <c r="J81" t="str">
        <f>"未婚"</f>
        <v>未婚</v>
      </c>
      <c r="K81" t="str">
        <f>"大专"</f>
        <v>大专</v>
      </c>
      <c r="L81" t="str">
        <f>"专科"</f>
        <v>专科</v>
      </c>
      <c r="M81" t="str">
        <f>"学前教育"</f>
        <v>学前教育</v>
      </c>
      <c r="N81" t="str">
        <f>"淮南联合大学"</f>
        <v>淮南联合大学</v>
      </c>
      <c r="O81" t="str">
        <f>"2022-7"</f>
        <v>2022-7</v>
      </c>
      <c r="P81" t="str">
        <f>"大专"</f>
        <v>大专</v>
      </c>
      <c r="Q81" t="str">
        <f>"大专"</f>
        <v>大专</v>
      </c>
      <c r="R81" t="str">
        <f t="shared" si="33"/>
        <v>学前教育</v>
      </c>
      <c r="S81" t="str">
        <f>"淮南联合大学"</f>
        <v>淮南联合大学</v>
      </c>
      <c r="T81" t="str">
        <f>"2022-7"</f>
        <v>2022-7</v>
      </c>
      <c r="U81" t="str">
        <f>"有幼儿园教师资格证"</f>
        <v>有幼儿园教师资格证</v>
      </c>
      <c r="V81" t="str">
        <f>"一年"</f>
        <v>一年</v>
      </c>
      <c r="W81" t="str">
        <f>"无"</f>
        <v>无</v>
      </c>
      <c r="X81" t="str">
        <f t="shared" si="30"/>
        <v>是</v>
      </c>
      <c r="Y81" t="str">
        <f>"徐桥苑幼儿园"</f>
        <v>徐桥苑幼儿园</v>
      </c>
      <c r="Z81" t="str">
        <f>"17354057312"</f>
        <v>17354057312</v>
      </c>
      <c r="AA81" t="str">
        <f>"徐桥苑小区"</f>
        <v>徐桥苑小区</v>
      </c>
      <c r="AB81" t="str">
        <f>"2021年8月参加工作实习工作,一直到22年7月毕业一直工作,认爱幼儿工作,吃苦耐劳"</f>
        <v>2021年8月参加工作实习工作,一直到22年7月毕业一直工作,认爱幼儿工作,吃苦耐劳</v>
      </c>
      <c r="AC81" t="str">
        <f t="shared" si="31"/>
        <v>无</v>
      </c>
      <c r="AD81" t="str">
        <f>"绘画钢琴"</f>
        <v>绘画钢琴</v>
      </c>
      <c r="AE81" t="str">
        <f>"女儿|张文静|徐桥苑幼儿园|教师|父亲|张宝|务农||母亲|陶春丽|务农|"</f>
        <v>女儿|张文静|徐桥苑幼儿园|教师|父亲|张宝|务农||母亲|陶春丽|务农|</v>
      </c>
      <c r="AF81" s="2">
        <v>44985.4903125</v>
      </c>
      <c r="AG81">
        <v>1</v>
      </c>
      <c r="AH81">
        <v>1</v>
      </c>
      <c r="AI81">
        <v>0</v>
      </c>
      <c r="AJ81" t="s">
        <v>122</v>
      </c>
      <c r="AK81" s="4">
        <v>54.2</v>
      </c>
      <c r="AL81" s="4">
        <v>54.7</v>
      </c>
      <c r="AM81" s="4">
        <v>54.45</v>
      </c>
      <c r="AN81">
        <v>0</v>
      </c>
    </row>
    <row r="82" spans="1:40" ht="18" customHeight="1">
      <c r="A82" t="str">
        <f>"141720230226215313340391"</f>
        <v>141720230226215313340391</v>
      </c>
      <c r="B82" t="s">
        <v>44</v>
      </c>
      <c r="C82" t="str">
        <f>"吴影"</f>
        <v>吴影</v>
      </c>
      <c r="D82" t="str">
        <f t="shared" si="22"/>
        <v>女</v>
      </c>
      <c r="E82" t="str">
        <f>"2000-3"</f>
        <v>2000-3</v>
      </c>
      <c r="F82" t="str">
        <f>"安徽省亳州市利辛县"</f>
        <v>安徽省亳州市利辛县</v>
      </c>
      <c r="G82" t="str">
        <f t="shared" si="28"/>
        <v>汉族</v>
      </c>
      <c r="H82" t="str">
        <f t="shared" si="32"/>
        <v>共青团员</v>
      </c>
      <c r="I82" t="str">
        <f>"341623200003174421"</f>
        <v>341623200003174421</v>
      </c>
      <c r="J82" t="str">
        <f>"未婚"</f>
        <v>未婚</v>
      </c>
      <c r="K82" t="str">
        <f>"大专"</f>
        <v>大专</v>
      </c>
      <c r="L82" t="str">
        <f>"无"</f>
        <v>无</v>
      </c>
      <c r="M82" t="str">
        <f>"学前教育"</f>
        <v>学前教育</v>
      </c>
      <c r="N82" t="str">
        <f>"马鞍山师范高等专科学校"</f>
        <v>马鞍山师范高等专科学校</v>
      </c>
      <c r="O82" t="str">
        <f>"2022.06"</f>
        <v>2022.06</v>
      </c>
      <c r="P82" t="str">
        <f>"大专"</f>
        <v>大专</v>
      </c>
      <c r="Q82" t="str">
        <f>"无"</f>
        <v>无</v>
      </c>
      <c r="R82" t="str">
        <f t="shared" si="33"/>
        <v>学前教育</v>
      </c>
      <c r="S82" t="str">
        <f>"马鞍山师范高等专科学校"</f>
        <v>马鞍山师范高等专科学校</v>
      </c>
      <c r="T82" t="str">
        <f>"2022.06"</f>
        <v>2022.06</v>
      </c>
      <c r="U82" t="str">
        <f>"幼儿园教师资格证"</f>
        <v>幼儿园教师资格证</v>
      </c>
      <c r="V82" t="str">
        <f>"1年"</f>
        <v>1年</v>
      </c>
      <c r="W82" t="str">
        <f>"无"</f>
        <v>无</v>
      </c>
      <c r="X82" t="str">
        <f t="shared" si="30"/>
        <v>是</v>
      </c>
      <c r="Y82" t="str">
        <f>"合肥市油坊新城幼儿园"</f>
        <v>合肥市油坊新城幼儿园</v>
      </c>
      <c r="Z82" t="str">
        <f>"18355942959"</f>
        <v>18355942959</v>
      </c>
      <c r="AA82" t="str">
        <f>"合肥市瑶海区油坊新城"</f>
        <v>合肥市瑶海区油坊新城</v>
      </c>
      <c r="AB82" s="1" t="str">
        <f>"2016.09-2019.07利辛县第一中学
2019.09-2022.06马鞍山师范高等专科学校"</f>
        <v>2016.09-2019.07利辛县第一中学
2019.09-2022.06马鞍山师范高等专科学校</v>
      </c>
      <c r="AC82" t="str">
        <f t="shared" si="31"/>
        <v>无</v>
      </c>
      <c r="AD82" t="str">
        <f>"钢琴、绘画"</f>
        <v>钢琴、绘画</v>
      </c>
      <c r="AE82" t="str">
        <f>"父亲|吴国全|巩店镇张乐村卫生室|村医|母亲|魏梅|无|务农|弟弟|吴轲|利辛县第十中学|学生"</f>
        <v>父亲|吴国全|巩店镇张乐村卫生室|村医|母亲|魏梅|无|务农|弟弟|吴轲|利辛县第十中学|学生</v>
      </c>
      <c r="AF82" s="2">
        <v>44984.53733796296</v>
      </c>
      <c r="AG82">
        <v>1</v>
      </c>
      <c r="AH82">
        <v>1</v>
      </c>
      <c r="AI82">
        <v>0</v>
      </c>
      <c r="AJ82" t="s">
        <v>123</v>
      </c>
      <c r="AK82" s="4">
        <v>58.2</v>
      </c>
      <c r="AL82" s="4">
        <v>59.3</v>
      </c>
      <c r="AM82" s="4">
        <v>58.75</v>
      </c>
      <c r="AN82">
        <v>0</v>
      </c>
    </row>
    <row r="83" spans="1:40" ht="18" customHeight="1">
      <c r="A83" t="str">
        <f>"141720230226215403340392"</f>
        <v>141720230226215403340392</v>
      </c>
      <c r="B83" t="s">
        <v>44</v>
      </c>
      <c r="C83" t="str">
        <f>"王康雪"</f>
        <v>王康雪</v>
      </c>
      <c r="D83" t="str">
        <f t="shared" si="22"/>
        <v>女</v>
      </c>
      <c r="E83" t="str">
        <f>"1998-11"</f>
        <v>1998-11</v>
      </c>
      <c r="F83" t="str">
        <f>"安徽淮南"</f>
        <v>安徽淮南</v>
      </c>
      <c r="G83" t="str">
        <f t="shared" si="28"/>
        <v>汉族</v>
      </c>
      <c r="H83" t="str">
        <f t="shared" si="32"/>
        <v>共青团员</v>
      </c>
      <c r="I83" t="str">
        <f>"34242219981111402X"</f>
        <v>34242219981111402X</v>
      </c>
      <c r="J83" t="str">
        <f>"未婚"</f>
        <v>未婚</v>
      </c>
      <c r="K83" t="str">
        <f>"本科"</f>
        <v>本科</v>
      </c>
      <c r="L83" t="str">
        <f>"学士"</f>
        <v>学士</v>
      </c>
      <c r="M83" t="str">
        <f>"学前教育"</f>
        <v>学前教育</v>
      </c>
      <c r="N83" t="str">
        <f>"滁州学院"</f>
        <v>滁州学院</v>
      </c>
      <c r="O83" t="str">
        <f>"2022-7"</f>
        <v>2022-7</v>
      </c>
      <c r="P83" t="str">
        <f>"本科"</f>
        <v>本科</v>
      </c>
      <c r="Q83" t="str">
        <f>"学士"</f>
        <v>学士</v>
      </c>
      <c r="R83" t="str">
        <f t="shared" si="33"/>
        <v>学前教育</v>
      </c>
      <c r="S83" t="str">
        <f>"滁州学院"</f>
        <v>滁州学院</v>
      </c>
      <c r="T83" t="str">
        <f>"2022-7"</f>
        <v>2022-7</v>
      </c>
      <c r="U83" t="str">
        <f>"幼儿园教师资格证"</f>
        <v>幼儿园教师资格证</v>
      </c>
      <c r="V83" t="str">
        <f>"1年"</f>
        <v>1年</v>
      </c>
      <c r="W83" t="str">
        <f>"无"</f>
        <v>无</v>
      </c>
      <c r="X83" t="str">
        <f t="shared" si="30"/>
        <v>是</v>
      </c>
      <c r="Y83" t="str">
        <f>"寿县职业中专学校"</f>
        <v>寿县职业中专学校</v>
      </c>
      <c r="Z83" t="str">
        <f>"19955465459"</f>
        <v>19955465459</v>
      </c>
      <c r="AA83" t="str">
        <f>"安徽省淮南市寿县"</f>
        <v>安徽省淮南市寿县</v>
      </c>
      <c r="AB83" s="1" t="str">
        <f>"2014.9-2017.6 迎河中学 学生
2017.9-2020.6阜阳幼儿师范高等专科学校 学生
2020.9-2022.6滁州学院 学生"</f>
        <v>2014.9-2017.6 迎河中学 学生
2017.9-2020.6阜阳幼儿师范高等专科学校 学生
2020.9-2022.6滁州学院 学生</v>
      </c>
      <c r="AC83" t="str">
        <f t="shared" si="31"/>
        <v>无</v>
      </c>
      <c r="AD83" t="str">
        <f>"钢琴、唱歌"</f>
        <v>钢琴、唱歌</v>
      </c>
      <c r="AE83" t="str">
        <f>"父亲|王安磊 |童乐幼儿园|司机|母亲|段后分|无|无|弟弟|王志康 |杭州科技职业技术学院|学生"</f>
        <v>父亲|王安磊 |童乐幼儿园|司机|母亲|段后分|无|无|弟弟|王志康 |杭州科技职业技术学院|学生</v>
      </c>
      <c r="AF83" s="2">
        <v>44984.53943287037</v>
      </c>
      <c r="AG83">
        <v>1</v>
      </c>
      <c r="AH83">
        <v>1</v>
      </c>
      <c r="AI83">
        <v>0</v>
      </c>
      <c r="AJ83" t="s">
        <v>124</v>
      </c>
      <c r="AK83" s="4">
        <v>61.5</v>
      </c>
      <c r="AL83" s="4">
        <v>64.1</v>
      </c>
      <c r="AM83" s="4">
        <v>62.8</v>
      </c>
      <c r="AN83">
        <v>0</v>
      </c>
    </row>
    <row r="84" spans="1:40" ht="18" customHeight="1">
      <c r="A84" t="str">
        <f>"141720230226220029340393"</f>
        <v>141720230226220029340393</v>
      </c>
      <c r="B84" t="s">
        <v>44</v>
      </c>
      <c r="C84" t="str">
        <f>"李梦"</f>
        <v>李梦</v>
      </c>
      <c r="D84" t="str">
        <f t="shared" si="22"/>
        <v>女</v>
      </c>
      <c r="E84" t="str">
        <f>"1999&amp;#8722;9"</f>
        <v>1999&amp;#8722;9</v>
      </c>
      <c r="F84" t="str">
        <f>"安徽利辛"</f>
        <v>安徽利辛</v>
      </c>
      <c r="G84" t="str">
        <f t="shared" si="28"/>
        <v>汉族</v>
      </c>
      <c r="H84" t="str">
        <f>"群众"</f>
        <v>群众</v>
      </c>
      <c r="I84" t="str">
        <f>"341623199909242624"</f>
        <v>341623199909242624</v>
      </c>
      <c r="J84" t="str">
        <f>"已婚"</f>
        <v>已婚</v>
      </c>
      <c r="K84" t="str">
        <f>"本科"</f>
        <v>本科</v>
      </c>
      <c r="L84" t="str">
        <f>"无"</f>
        <v>无</v>
      </c>
      <c r="M84" t="str">
        <f>"小学教育"</f>
        <v>小学教育</v>
      </c>
      <c r="N84" t="str">
        <f>"安徽师范大学"</f>
        <v>安徽师范大学</v>
      </c>
      <c r="O84" t="str">
        <f>"2022.7"</f>
        <v>2022.7</v>
      </c>
      <c r="P84" t="str">
        <f>"专科"</f>
        <v>专科</v>
      </c>
      <c r="Q84" t="str">
        <f>"专科"</f>
        <v>专科</v>
      </c>
      <c r="R84" t="str">
        <f t="shared" si="33"/>
        <v>学前教育</v>
      </c>
      <c r="S84" t="str">
        <f>"合肥师范学院"</f>
        <v>合肥师范学院</v>
      </c>
      <c r="T84" t="str">
        <f>"2019.7"</f>
        <v>2019.7</v>
      </c>
      <c r="U84" t="str">
        <f>"幼儿园教师资格证"</f>
        <v>幼儿园教师资格证</v>
      </c>
      <c r="V84" t="str">
        <f>"4"</f>
        <v>4</v>
      </c>
      <c r="W84" t="str">
        <f>"二级"</f>
        <v>二级</v>
      </c>
      <c r="X84" t="str">
        <f t="shared" si="30"/>
        <v>是</v>
      </c>
      <c r="Y84" t="str">
        <f>"定远县张桥二小"</f>
        <v>定远县张桥二小</v>
      </c>
      <c r="Z84" t="str">
        <f>"18756760722"</f>
        <v>18756760722</v>
      </c>
      <c r="AA84" t="str">
        <f>"定远县张桥二小"</f>
        <v>定远县张桥二小</v>
      </c>
      <c r="AB84" s="1" t="str">
        <f>"2014.9-2019.7合肥师范学院学生2020.3-2022.7安徽师范大学学生
2019.11-至今定远县张桥二小员工"</f>
        <v>2014.9-2019.7合肥师范学院学生2020.3-2022.7安徽师范大学学生
2019.11-至今定远县张桥二小员工</v>
      </c>
      <c r="AC84" t="str">
        <f t="shared" si="31"/>
        <v>无</v>
      </c>
      <c r="AD84" t="str">
        <f>"无"</f>
        <v>无</v>
      </c>
      <c r="AE84" t="str">
        <f>"父亲|李天明|无|无||||||||"</f>
        <v>父亲|李天明|无|无||||||||</v>
      </c>
      <c r="AF84" s="2">
        <v>44985.476805555554</v>
      </c>
      <c r="AG84">
        <v>1</v>
      </c>
      <c r="AH84">
        <v>1</v>
      </c>
      <c r="AI84">
        <v>0</v>
      </c>
      <c r="AJ84" t="s">
        <v>125</v>
      </c>
      <c r="AK84" s="4">
        <v>64.5</v>
      </c>
      <c r="AL84" s="4">
        <v>60</v>
      </c>
      <c r="AM84" s="4">
        <v>62.25</v>
      </c>
      <c r="AN84">
        <v>0</v>
      </c>
    </row>
    <row r="85" spans="1:40" ht="18" customHeight="1">
      <c r="A85" t="str">
        <f>"141720230226221403340398"</f>
        <v>141720230226221403340398</v>
      </c>
      <c r="B85" t="s">
        <v>44</v>
      </c>
      <c r="C85" t="str">
        <f>"吴旭敏"</f>
        <v>吴旭敏</v>
      </c>
      <c r="D85" t="str">
        <f t="shared" si="22"/>
        <v>女</v>
      </c>
      <c r="E85" t="str">
        <f>"2001－04"</f>
        <v>2001－04</v>
      </c>
      <c r="F85" t="str">
        <f>"安徽省池州市东至县"</f>
        <v>安徽省池州市东至县</v>
      </c>
      <c r="G85" t="str">
        <f t="shared" si="28"/>
        <v>汉族</v>
      </c>
      <c r="H85" t="str">
        <f>"共青团员"</f>
        <v>共青团员</v>
      </c>
      <c r="I85" t="str">
        <f>"342921200104234248"</f>
        <v>342921200104234248</v>
      </c>
      <c r="J85" t="str">
        <f aca="true" t="shared" si="34" ref="J85:J93">"未婚"</f>
        <v>未婚</v>
      </c>
      <c r="K85" t="str">
        <f>"本科"</f>
        <v>本科</v>
      </c>
      <c r="L85" t="str">
        <f>"本科"</f>
        <v>本科</v>
      </c>
      <c r="M85" t="str">
        <f>"学前教育"</f>
        <v>学前教育</v>
      </c>
      <c r="N85" t="str">
        <f>"山东师范大学"</f>
        <v>山东师范大学</v>
      </c>
      <c r="O85" t="str">
        <f>"2021－12"</f>
        <v>2021－12</v>
      </c>
      <c r="P85" t="str">
        <f>"专科"</f>
        <v>专科</v>
      </c>
      <c r="Q85" t="str">
        <f>"本科"</f>
        <v>本科</v>
      </c>
      <c r="R85" t="str">
        <f t="shared" si="33"/>
        <v>学前教育</v>
      </c>
      <c r="S85" t="str">
        <f>"淄博师范高等专科学校"</f>
        <v>淄博师范高等专科学校</v>
      </c>
      <c r="T85" t="str">
        <f>"2021－6"</f>
        <v>2021－6</v>
      </c>
      <c r="U85" t="str">
        <f>"幼儿教师资格证，普通话二甲"</f>
        <v>幼儿教师资格证，普通话二甲</v>
      </c>
      <c r="V85" t="str">
        <f>"一年半"</f>
        <v>一年半</v>
      </c>
      <c r="W85" t="str">
        <f aca="true" t="shared" si="35" ref="W85:W93">"无"</f>
        <v>无</v>
      </c>
      <c r="X85" t="str">
        <f t="shared" si="30"/>
        <v>是</v>
      </c>
      <c r="Y85" t="str">
        <f>"合肥海纳翠庭幼儿园"</f>
        <v>合肥海纳翠庭幼儿园</v>
      </c>
      <c r="Z85" t="str">
        <f>"18098485422"</f>
        <v>18098485422</v>
      </c>
      <c r="AA85" t="str">
        <f>"安徽省池州市东至县胜利镇瓦垅村"</f>
        <v>安徽省池州市东至县胜利镇瓦垅村</v>
      </c>
      <c r="AB85" s="1" t="str">
        <f>"2015.9－2018.6 大渡口中学，学生
2018.9－2021.6 淄博师范高等专科学校，学生
2018.11－2021.12 山东师范大学，学生
2022.2－至今 合肥海纳翠庭幼儿园，教师兼年级组长"</f>
        <v>2015.9－2018.6 大渡口中学，学生
2018.9－2021.6 淄博师范高等专科学校，学生
2018.11－2021.12 山东师范大学，学生
2022.2－至今 合肥海纳翠庭幼儿园，教师兼年级组长</v>
      </c>
      <c r="AC85" t="str">
        <f t="shared" si="31"/>
        <v>无</v>
      </c>
      <c r="AD85" t="str">
        <f>"钢琴"</f>
        <v>钢琴</v>
      </c>
      <c r="AE85" t="str">
        <f>"父女|吴武松|安徽省池州市东至县胜利镇瓦垅村委会|文书|母女|宋琴芳|安徽省池州市东至县胜利镇瓦垅村卫生院|医生||||"</f>
        <v>父女|吴武松|安徽省池州市东至县胜利镇瓦垅村委会|文书|母女|宋琴芳|安徽省池州市东至县胜利镇瓦垅村卫生院|医生||||</v>
      </c>
      <c r="AF85" s="2">
        <v>44985.4877662037</v>
      </c>
      <c r="AG85">
        <v>1</v>
      </c>
      <c r="AH85">
        <v>1</v>
      </c>
      <c r="AI85">
        <v>0</v>
      </c>
      <c r="AJ85" t="s">
        <v>126</v>
      </c>
      <c r="AK85" s="4">
        <v>67.2</v>
      </c>
      <c r="AL85" s="4">
        <v>60.1</v>
      </c>
      <c r="AM85" s="4">
        <v>63.650000000000006</v>
      </c>
      <c r="AN85">
        <v>0</v>
      </c>
    </row>
    <row r="86" spans="1:40" ht="18" customHeight="1">
      <c r="A86" t="str">
        <f>"141720230226222355340401"</f>
        <v>141720230226222355340401</v>
      </c>
      <c r="B86" t="s">
        <v>44</v>
      </c>
      <c r="C86" t="str">
        <f>"胡月"</f>
        <v>胡月</v>
      </c>
      <c r="D86" t="str">
        <f t="shared" si="22"/>
        <v>女</v>
      </c>
      <c r="E86" t="str">
        <f>"1997-6-24"</f>
        <v>1997-6-24</v>
      </c>
      <c r="F86" t="str">
        <f>"安徽省蜀山区"</f>
        <v>安徽省蜀山区</v>
      </c>
      <c r="G86" t="str">
        <f t="shared" si="28"/>
        <v>汉族</v>
      </c>
      <c r="H86" t="str">
        <f>"中共党员"</f>
        <v>中共党员</v>
      </c>
      <c r="I86" t="str">
        <f>"340101199706240024"</f>
        <v>340101199706240024</v>
      </c>
      <c r="J86" t="str">
        <f t="shared" si="34"/>
        <v>未婚</v>
      </c>
      <c r="K86" t="str">
        <f>"本科"</f>
        <v>本科</v>
      </c>
      <c r="L86" t="str">
        <f>"学士"</f>
        <v>学士</v>
      </c>
      <c r="M86" t="str">
        <f>"学前教育"</f>
        <v>学前教育</v>
      </c>
      <c r="N86" t="str">
        <f>"淮北师范大学信息学院"</f>
        <v>淮北师范大学信息学院</v>
      </c>
      <c r="O86" t="str">
        <f>"2020-7-1"</f>
        <v>2020-7-1</v>
      </c>
      <c r="P86" t="str">
        <f>"本科"</f>
        <v>本科</v>
      </c>
      <c r="Q86" t="str">
        <f>"学士学位"</f>
        <v>学士学位</v>
      </c>
      <c r="R86" t="str">
        <f t="shared" si="33"/>
        <v>学前教育</v>
      </c>
      <c r="S86" t="str">
        <f>"淮北师范大学信息学院"</f>
        <v>淮北师范大学信息学院</v>
      </c>
      <c r="T86" t="str">
        <f>"2020-7-1"</f>
        <v>2020-7-1</v>
      </c>
      <c r="U86" t="str">
        <f>"毕业证书、幼儿园教师资格证、民族舞教师证、民族歌唱八级证、广南山村支教证书"</f>
        <v>毕业证书、幼儿园教师资格证、民族舞教师证、民族歌唱八级证、广南山村支教证书</v>
      </c>
      <c r="V86" t="str">
        <f>"一年"</f>
        <v>一年</v>
      </c>
      <c r="W86" t="str">
        <f t="shared" si="35"/>
        <v>无</v>
      </c>
      <c r="X86" t="str">
        <f t="shared" si="30"/>
        <v>是</v>
      </c>
      <c r="Y86" t="str">
        <f>"无"</f>
        <v>无</v>
      </c>
      <c r="Z86" t="str">
        <f>"18755186503"</f>
        <v>18755186503</v>
      </c>
      <c r="AA86" t="str">
        <f>"安徽省合肥市蜀山区海恒社区福禄园60栋"</f>
        <v>安徽省合肥市蜀山区海恒社区福禄园60栋</v>
      </c>
      <c r="AB86" s="1" t="str">
        <f>"2013.9-2016.6 肥西实验高级中学 学生
2016.9-2020.7 淮北师范大学信息学院 学生
2020.7-2021.8 海恒阳光幼儿园教师"</f>
        <v>2013.9-2016.6 肥西实验高级中学 学生
2016.9-2020.7 淮北师范大学信息学院 学生
2020.7-2021.8 海恒阳光幼儿园教师</v>
      </c>
      <c r="AC86" t="str">
        <f>"2017-2018学年度“优秀学生干部”、“学生干部社会工作优秀单项奖” 2018年“优秀共青团干部”、2018-2019学年度“优秀共青团员”、2019-2020学年度“优秀学生干部”、“学生干部社会工作优秀单项奖”"</f>
        <v>2017-2018学年度“优秀学生干部”、“学生干部社会工作优秀单项奖” 2018年“优秀共青团干部”、2018-2019学年度“优秀共青团员”、2019-2020学年度“优秀学生干部”、“学生干部社会工作优秀单项奖”</v>
      </c>
      <c r="AD86" t="str">
        <f>"唱歌、跳舞"</f>
        <v>唱歌、跳舞</v>
      </c>
      <c r="AE86" t="str">
        <f>"父亲|胡玉良|合肥艳月器械租赁有限公司|法人|母亲|李朝勤|无|无|姐姐|胡艳|无|无"</f>
        <v>父亲|胡玉良|合肥艳月器械租赁有限公司|法人|母亲|李朝勤|无|无|姐姐|胡艳|无|无</v>
      </c>
      <c r="AF86" s="2">
        <v>44984.53849537037</v>
      </c>
      <c r="AG86">
        <v>1</v>
      </c>
      <c r="AH86">
        <v>1</v>
      </c>
      <c r="AI86">
        <v>0</v>
      </c>
      <c r="AJ86" t="s">
        <v>127</v>
      </c>
      <c r="AK86" s="4" t="s">
        <v>264</v>
      </c>
      <c r="AL86" s="4" t="s">
        <v>264</v>
      </c>
      <c r="AM86" s="4" t="s">
        <v>264</v>
      </c>
      <c r="AN86">
        <v>0</v>
      </c>
    </row>
    <row r="87" spans="1:40" ht="18" customHeight="1">
      <c r="A87" t="str">
        <f>"141720230226222830340402"</f>
        <v>141720230226222830340402</v>
      </c>
      <c r="B87" t="s">
        <v>44</v>
      </c>
      <c r="C87" t="str">
        <f>"王子滢"</f>
        <v>王子滢</v>
      </c>
      <c r="D87" t="str">
        <f t="shared" si="22"/>
        <v>女</v>
      </c>
      <c r="E87" t="str">
        <f>"2000-09"</f>
        <v>2000-09</v>
      </c>
      <c r="F87" t="str">
        <f>"安徽庐江县"</f>
        <v>安徽庐江县</v>
      </c>
      <c r="G87" t="str">
        <f t="shared" si="28"/>
        <v>汉族</v>
      </c>
      <c r="H87" t="str">
        <f>"共青团员"</f>
        <v>共青团员</v>
      </c>
      <c r="I87" t="str">
        <f>"342622200009260122"</f>
        <v>342622200009260122</v>
      </c>
      <c r="J87" t="str">
        <f t="shared" si="34"/>
        <v>未婚</v>
      </c>
      <c r="K87" t="str">
        <f>"本科"</f>
        <v>本科</v>
      </c>
      <c r="L87" t="str">
        <f>"学士"</f>
        <v>学士</v>
      </c>
      <c r="M87" t="str">
        <f>"学前教育"</f>
        <v>学前教育</v>
      </c>
      <c r="N87" t="str">
        <f>"安徽师范大学皖江学院"</f>
        <v>安徽师范大学皖江学院</v>
      </c>
      <c r="O87" t="str">
        <f>"2023-7-1"</f>
        <v>2023-7-1</v>
      </c>
      <c r="P87" t="str">
        <f>"本科"</f>
        <v>本科</v>
      </c>
      <c r="Q87" t="str">
        <f>"学士"</f>
        <v>学士</v>
      </c>
      <c r="R87" t="str">
        <f t="shared" si="33"/>
        <v>学前教育</v>
      </c>
      <c r="S87" t="str">
        <f>"安徽师范大学皖江学院"</f>
        <v>安徽师范大学皖江学院</v>
      </c>
      <c r="T87" t="str">
        <f>"2023-7-1"</f>
        <v>2023-7-1</v>
      </c>
      <c r="U87" t="str">
        <f>"幼儿园教师资格证书"</f>
        <v>幼儿园教师资格证书</v>
      </c>
      <c r="V87" t="str">
        <f>"无"</f>
        <v>无</v>
      </c>
      <c r="W87" t="str">
        <f t="shared" si="35"/>
        <v>无</v>
      </c>
      <c r="X87" t="str">
        <f t="shared" si="30"/>
        <v>是</v>
      </c>
      <c r="Y87" t="str">
        <f>"无"</f>
        <v>无</v>
      </c>
      <c r="Z87" t="str">
        <f>"18756507493"</f>
        <v>18756507493</v>
      </c>
      <c r="AA87" t="str">
        <f>"安徽省合肥市庐江县海纳国际小区2栋404"</f>
        <v>安徽省合肥市庐江县海纳国际小区2栋404</v>
      </c>
      <c r="AB87" s="1" t="str">
        <f>"2015.9-2019.6 安徽省庐江县第二中学 学生
2019.9-2023.7 安徽师范大学皖江学院 学生"</f>
        <v>2015.9-2019.6 安徽省庐江县第二中学 学生
2019.9-2023.7 安徽师范大学皖江学院 学生</v>
      </c>
      <c r="AC87" t="str">
        <f>"无"</f>
        <v>无</v>
      </c>
      <c r="AD87" t="str">
        <f>"小提琴，钢琴"</f>
        <v>小提琴，钢琴</v>
      </c>
      <c r="AE87" t="str">
        <f>"父亲|王向阳|中国能源建设集团安徽电力建设第二工程有限公司|质检员|母亲|陈月霞|庐江县盐业公司|会计（已退休）||||"</f>
        <v>父亲|王向阳|中国能源建设集团安徽电力建设第二工程有限公司|质检员|母亲|陈月霞|庐江县盐业公司|会计（已退休）||||</v>
      </c>
      <c r="AF87" s="2">
        <v>44984.53912037037</v>
      </c>
      <c r="AG87">
        <v>1</v>
      </c>
      <c r="AH87">
        <v>1</v>
      </c>
      <c r="AI87">
        <v>0</v>
      </c>
      <c r="AJ87" t="s">
        <v>128</v>
      </c>
      <c r="AK87" s="4">
        <v>73.5</v>
      </c>
      <c r="AL87" s="4">
        <v>62.8</v>
      </c>
      <c r="AM87" s="4">
        <v>68.15</v>
      </c>
      <c r="AN87">
        <v>0</v>
      </c>
    </row>
    <row r="88" spans="1:40" ht="18" customHeight="1">
      <c r="A88" t="str">
        <f>"141720230226223835340404"</f>
        <v>141720230226223835340404</v>
      </c>
      <c r="B88" t="s">
        <v>44</v>
      </c>
      <c r="C88" t="str">
        <f>"徐敏"</f>
        <v>徐敏</v>
      </c>
      <c r="D88" t="str">
        <f t="shared" si="22"/>
        <v>女</v>
      </c>
      <c r="E88" t="str">
        <f>"1997—02"</f>
        <v>1997—02</v>
      </c>
      <c r="F88" t="str">
        <f>"安徽省肥东县"</f>
        <v>安徽省肥东县</v>
      </c>
      <c r="G88" t="str">
        <f t="shared" si="28"/>
        <v>汉族</v>
      </c>
      <c r="H88" t="str">
        <f>"共青团员"</f>
        <v>共青团员</v>
      </c>
      <c r="I88" t="str">
        <f>"340123199702013148"</f>
        <v>340123199702013148</v>
      </c>
      <c r="J88" t="str">
        <f t="shared" si="34"/>
        <v>未婚</v>
      </c>
      <c r="K88" t="str">
        <f>"专科"</f>
        <v>专科</v>
      </c>
      <c r="L88" t="str">
        <f>"无"</f>
        <v>无</v>
      </c>
      <c r="M88" t="str">
        <f>"学前教育"</f>
        <v>学前教育</v>
      </c>
      <c r="N88" t="str">
        <f>"合肥幼儿师范高等专科学校"</f>
        <v>合肥幼儿师范高等专科学校</v>
      </c>
      <c r="O88" t="str">
        <f>"2019.07"</f>
        <v>2019.07</v>
      </c>
      <c r="P88" t="str">
        <f>"专科"</f>
        <v>专科</v>
      </c>
      <c r="Q88" t="str">
        <f>"无"</f>
        <v>无</v>
      </c>
      <c r="R88" t="str">
        <f t="shared" si="33"/>
        <v>学前教育</v>
      </c>
      <c r="S88" t="str">
        <f>"合肥幼儿师范高等专科学校"</f>
        <v>合肥幼儿师范高等专科学校</v>
      </c>
      <c r="T88" t="str">
        <f>"2019.09"</f>
        <v>2019.09</v>
      </c>
      <c r="U88" t="str">
        <f>"幼儿教师资格证"</f>
        <v>幼儿教师资格证</v>
      </c>
      <c r="V88" t="str">
        <f>"4年"</f>
        <v>4年</v>
      </c>
      <c r="W88" t="str">
        <f t="shared" si="35"/>
        <v>无</v>
      </c>
      <c r="X88" t="str">
        <f t="shared" si="30"/>
        <v>是</v>
      </c>
      <c r="Y88" t="str">
        <f>"合肥幼教集团"</f>
        <v>合肥幼教集团</v>
      </c>
      <c r="Z88" t="str">
        <f>"19856556238"</f>
        <v>19856556238</v>
      </c>
      <c r="AA88" t="str">
        <f>"安徽省合肥瑶海区广乐家园"</f>
        <v>安徽省合肥瑶海区广乐家园</v>
      </c>
      <c r="AB88" s="1" t="str">
        <f>"2014—2019 合肥幼儿师范高等专科学校
2019—2022合肥幼教集团
2022—2023天水路小学"</f>
        <v>2014—2019 合肥幼儿师范高等专科学校
2019—2022合肥幼教集团
2022—2023天水路小学</v>
      </c>
      <c r="AC88" t="str">
        <f>"无"</f>
        <v>无</v>
      </c>
      <c r="AD88" s="1" t="str">
        <f>"文字编辑    
绘画
"</f>
        <v>文字编辑    
绘画
</v>
      </c>
      <c r="AE88" t="str">
        <f>"父亲|徐世胜|个体|||||||||"</f>
        <v>父亲|徐世胜|个体|||||||||</v>
      </c>
      <c r="AF88" s="2">
        <v>44984.53884259259</v>
      </c>
      <c r="AG88">
        <v>1</v>
      </c>
      <c r="AH88">
        <v>1</v>
      </c>
      <c r="AI88">
        <v>0</v>
      </c>
      <c r="AJ88" t="s">
        <v>129</v>
      </c>
      <c r="AK88" s="4">
        <v>72.9</v>
      </c>
      <c r="AL88" s="4">
        <v>70.5</v>
      </c>
      <c r="AM88" s="4">
        <v>71.7</v>
      </c>
      <c r="AN88">
        <v>0</v>
      </c>
    </row>
    <row r="89" spans="1:40" ht="18" customHeight="1">
      <c r="A89" t="str">
        <f>"141720230226225528340406"</f>
        <v>141720230226225528340406</v>
      </c>
      <c r="B89" t="s">
        <v>44</v>
      </c>
      <c r="C89" t="str">
        <f>"路佳佳"</f>
        <v>路佳佳</v>
      </c>
      <c r="D89" t="str">
        <f t="shared" si="22"/>
        <v>女</v>
      </c>
      <c r="E89" t="str">
        <f>"20010705"</f>
        <v>20010705</v>
      </c>
      <c r="F89" t="str">
        <f>"安徽省定远县"</f>
        <v>安徽省定远县</v>
      </c>
      <c r="G89" t="str">
        <f t="shared" si="28"/>
        <v>汉族</v>
      </c>
      <c r="H89" t="str">
        <f>"共青团员"</f>
        <v>共青团员</v>
      </c>
      <c r="I89" t="str">
        <f>"341125200107051106"</f>
        <v>341125200107051106</v>
      </c>
      <c r="J89" t="str">
        <f t="shared" si="34"/>
        <v>未婚</v>
      </c>
      <c r="K89" t="str">
        <f>"大专"</f>
        <v>大专</v>
      </c>
      <c r="L89" t="str">
        <f>"无"</f>
        <v>无</v>
      </c>
      <c r="M89" t="str">
        <f>"滁州城市职业学院"</f>
        <v>滁州城市职业学院</v>
      </c>
      <c r="N89" t="str">
        <f>"滁州城市职业学院"</f>
        <v>滁州城市职业学院</v>
      </c>
      <c r="O89" t="str">
        <f>"2021.7"</f>
        <v>2021.7</v>
      </c>
      <c r="P89" t="str">
        <f>"大专"</f>
        <v>大专</v>
      </c>
      <c r="Q89" t="str">
        <f>"无"</f>
        <v>无</v>
      </c>
      <c r="R89" t="str">
        <f t="shared" si="33"/>
        <v>学前教育</v>
      </c>
      <c r="S89" t="str">
        <f>"滁州城市职业学院"</f>
        <v>滁州城市职业学院</v>
      </c>
      <c r="T89" t="str">
        <f>"2021.7"</f>
        <v>2021.7</v>
      </c>
      <c r="U89" t="str">
        <f>"幼儿园教师资格证"</f>
        <v>幼儿园教师资格证</v>
      </c>
      <c r="V89" t="str">
        <f>"2年"</f>
        <v>2年</v>
      </c>
      <c r="W89" t="str">
        <f t="shared" si="35"/>
        <v>无</v>
      </c>
      <c r="X89" t="str">
        <f t="shared" si="30"/>
        <v>是</v>
      </c>
      <c r="Y89" t="str">
        <f>"合肥市包河区春童幼儿园"</f>
        <v>合肥市包河区春童幼儿园</v>
      </c>
      <c r="Z89" t="str">
        <f>"19856919878"</f>
        <v>19856919878</v>
      </c>
      <c r="AA89" t="str">
        <f>"合肥市瑶海区兴华苑A区"</f>
        <v>合肥市瑶海区兴华苑A区</v>
      </c>
      <c r="AB89" s="1" t="str">
        <f>"2021.2——至今
合肥市包河区春童幼儿园 教师"</f>
        <v>2021.2——至今
合肥市包河区春童幼儿园 教师</v>
      </c>
      <c r="AC89" t="str">
        <f>"无"</f>
        <v>无</v>
      </c>
      <c r="AD89" t="str">
        <f>"喜欢讲故事 乐高搭建 "</f>
        <v>喜欢讲故事 乐高搭建 </v>
      </c>
      <c r="AE89" t="str">
        <f>"父亲|路厚国|个体工商户|老板|母亲|董霞玲|个体|老板娘|弟弟|路康|学生|高三学生"</f>
        <v>父亲|路厚国|个体工商户|老板|母亲|董霞玲|个体|老板娘|弟弟|路康|学生|高三学生</v>
      </c>
      <c r="AF89" s="2">
        <v>44984.54015046296</v>
      </c>
      <c r="AG89">
        <v>1</v>
      </c>
      <c r="AH89">
        <v>1</v>
      </c>
      <c r="AI89">
        <v>0</v>
      </c>
      <c r="AJ89" t="s">
        <v>130</v>
      </c>
      <c r="AK89" s="4" t="s">
        <v>264</v>
      </c>
      <c r="AL89" s="4" t="s">
        <v>264</v>
      </c>
      <c r="AM89" s="4" t="s">
        <v>264</v>
      </c>
      <c r="AN89">
        <v>0</v>
      </c>
    </row>
    <row r="90" spans="1:40" ht="18" customHeight="1">
      <c r="A90" t="str">
        <f>"141720230227082501340418"</f>
        <v>141720230227082501340418</v>
      </c>
      <c r="B90" t="s">
        <v>44</v>
      </c>
      <c r="C90" t="str">
        <f>"关慧"</f>
        <v>关慧</v>
      </c>
      <c r="D90" t="str">
        <f t="shared" si="22"/>
        <v>女</v>
      </c>
      <c r="E90" t="str">
        <f>"1999-1-19"</f>
        <v>1999-1-19</v>
      </c>
      <c r="F90" t="str">
        <f>"安徽肥东县"</f>
        <v>安徽肥东县</v>
      </c>
      <c r="G90" t="str">
        <f t="shared" si="28"/>
        <v>汉族</v>
      </c>
      <c r="H90" t="str">
        <f>"群众"</f>
        <v>群众</v>
      </c>
      <c r="I90" t="str">
        <f>"340123199901193620"</f>
        <v>340123199901193620</v>
      </c>
      <c r="J90" t="str">
        <f t="shared" si="34"/>
        <v>未婚</v>
      </c>
      <c r="K90" t="str">
        <f>"本科"</f>
        <v>本科</v>
      </c>
      <c r="L90" t="str">
        <f>"教育学学士学位"</f>
        <v>教育学学士学位</v>
      </c>
      <c r="M90" t="str">
        <f>"学前教育"</f>
        <v>学前教育</v>
      </c>
      <c r="N90" t="str">
        <f>"滁州学院"</f>
        <v>滁州学院</v>
      </c>
      <c r="O90" t="str">
        <f>"2020-7"</f>
        <v>2020-7</v>
      </c>
      <c r="P90" t="str">
        <f>"本科"</f>
        <v>本科</v>
      </c>
      <c r="Q90" t="str">
        <f>"教育学学士学位"</f>
        <v>教育学学士学位</v>
      </c>
      <c r="R90" t="str">
        <f t="shared" si="33"/>
        <v>学前教育</v>
      </c>
      <c r="S90" t="str">
        <f>"滁州学院"</f>
        <v>滁州学院</v>
      </c>
      <c r="T90" t="str">
        <f>"2020-7"</f>
        <v>2020-7</v>
      </c>
      <c r="U90" t="str">
        <f>"幼儿园教师资格证书"</f>
        <v>幼儿园教师资格证书</v>
      </c>
      <c r="V90" t="str">
        <f>"2.5"</f>
        <v>2.5</v>
      </c>
      <c r="W90" t="str">
        <f t="shared" si="35"/>
        <v>无</v>
      </c>
      <c r="X90" t="str">
        <f t="shared" si="30"/>
        <v>是</v>
      </c>
      <c r="Y90" t="str">
        <f>"合肥腾飞学校"</f>
        <v>合肥腾飞学校</v>
      </c>
      <c r="Z90" t="str">
        <f>"13665608147"</f>
        <v>13665608147</v>
      </c>
      <c r="AA90" t="str">
        <f>"安徽省合肥市瑶海区新安江路与龙岗路交叉口嘉应茗阳水岸小区"</f>
        <v>安徽省合肥市瑶海区新安江路与龙岗路交叉口嘉应茗阳水岸小区</v>
      </c>
      <c r="AB90" s="1" t="str">
        <f>"2013.9-2018.7合肥幼儿师范高等专科学校 学前教育专业学生
2018.9-2020.7滁州学院 学前教育专业学生
2020.9-2021.7合肥庐阳海棠别院幼儿园 教师
2021.9-至今合肥腾飞学校 学前教育专业专业课教师"</f>
        <v>2013.9-2018.7合肥幼儿师范高等专科学校 学前教育专业学生
2018.9-2020.7滁州学院 学前教育专业学生
2020.9-2021.7合肥庐阳海棠别院幼儿园 教师
2021.9-至今合肥腾飞学校 学前教育专业专业课教师</v>
      </c>
      <c r="AC90" t="str">
        <f>"无"</f>
        <v>无</v>
      </c>
      <c r="AD90" t="str">
        <f>"舞蹈"</f>
        <v>舞蹈</v>
      </c>
      <c r="AE90" t="str">
        <f>"父亲|关旭东|自由职业|无|母亲|王敏|华贝幼教|厨师|妹妹|关宇涵|合肥市第三十八中学|学生"</f>
        <v>父亲|关旭东|自由职业|无|母亲|王敏|华贝幼教|厨师|妹妹|关宇涵|合肥市第三十八中学|学生</v>
      </c>
      <c r="AF90" s="2">
        <v>44984.5418287037</v>
      </c>
      <c r="AG90">
        <v>1</v>
      </c>
      <c r="AH90">
        <v>1</v>
      </c>
      <c r="AI90">
        <v>0</v>
      </c>
      <c r="AJ90" t="s">
        <v>131</v>
      </c>
      <c r="AK90" s="4" t="s">
        <v>264</v>
      </c>
      <c r="AL90" s="4" t="s">
        <v>264</v>
      </c>
      <c r="AM90" s="4" t="s">
        <v>264</v>
      </c>
      <c r="AN90">
        <v>0</v>
      </c>
    </row>
    <row r="91" spans="1:40" ht="18" customHeight="1">
      <c r="A91" t="str">
        <f>"141720230227085149340422"</f>
        <v>141720230227085149340422</v>
      </c>
      <c r="B91" t="s">
        <v>44</v>
      </c>
      <c r="C91" t="str">
        <f>"殷婷"</f>
        <v>殷婷</v>
      </c>
      <c r="D91" t="str">
        <f t="shared" si="22"/>
        <v>女</v>
      </c>
      <c r="E91" t="str">
        <f>"2000-11"</f>
        <v>2000-11</v>
      </c>
      <c r="F91" t="str">
        <f>"安徽肥东"</f>
        <v>安徽肥东</v>
      </c>
      <c r="G91" t="str">
        <f t="shared" si="28"/>
        <v>汉族</v>
      </c>
      <c r="H91" t="str">
        <f>"共青团员"</f>
        <v>共青团员</v>
      </c>
      <c r="I91" t="str">
        <f>"34012320001115166X"</f>
        <v>34012320001115166X</v>
      </c>
      <c r="J91" t="str">
        <f t="shared" si="34"/>
        <v>未婚</v>
      </c>
      <c r="K91" t="str">
        <f>"本科"</f>
        <v>本科</v>
      </c>
      <c r="L91" t="str">
        <f>"学士"</f>
        <v>学士</v>
      </c>
      <c r="M91" t="str">
        <f>"学前教育"</f>
        <v>学前教育</v>
      </c>
      <c r="N91" t="str">
        <f>"巢湖学院"</f>
        <v>巢湖学院</v>
      </c>
      <c r="O91" t="str">
        <f>"2023年6月"</f>
        <v>2023年6月</v>
      </c>
      <c r="P91" t="str">
        <f>"本科"</f>
        <v>本科</v>
      </c>
      <c r="Q91" t="str">
        <f>"学士"</f>
        <v>学士</v>
      </c>
      <c r="R91" t="str">
        <f t="shared" si="33"/>
        <v>学前教育</v>
      </c>
      <c r="S91" t="str">
        <f>"巢湖学院"</f>
        <v>巢湖学院</v>
      </c>
      <c r="T91" t="str">
        <f>"2023年6月"</f>
        <v>2023年6月</v>
      </c>
      <c r="U91" t="str">
        <f>"幼儿园教师资格证"</f>
        <v>幼儿园教师资格证</v>
      </c>
      <c r="V91" t="str">
        <f>"1年"</f>
        <v>1年</v>
      </c>
      <c r="W91" t="str">
        <f t="shared" si="35"/>
        <v>无</v>
      </c>
      <c r="X91" t="str">
        <f t="shared" si="30"/>
        <v>是</v>
      </c>
      <c r="Y91" t="str">
        <f>"无"</f>
        <v>无</v>
      </c>
      <c r="Z91" t="str">
        <f>"18326607802"</f>
        <v>18326607802</v>
      </c>
      <c r="AA91" t="str">
        <f>"安徽省合肥市肥东县南环路瑞士花园"</f>
        <v>安徽省合肥市肥东县南环路瑞士花园</v>
      </c>
      <c r="AB91" s="1" t="str">
        <f>"2006.9-2012.6肥东育红小学
2012.9-2015.6肥东圣泉中学
2015.9-2018.6肥东第二中学
2018.9-2021.6阜阳幼儿师范高等专科学校
2021.9-2023.6巢湖学院
"</f>
        <v>2006.9-2012.6肥东育红小学
2012.9-2015.6肥东圣泉中学
2015.9-2018.6肥东第二中学
2018.9-2021.6阜阳幼儿师范高等专科学校
2021.9-2023.6巢湖学院
</v>
      </c>
      <c r="AC91" t="str">
        <f>"获得过巢湖学院2022-2023年度校级一等奖学金"</f>
        <v>获得过巢湖学院2022-2023年度校级一等奖学金</v>
      </c>
      <c r="AD91" t="str">
        <f>"唱歌"</f>
        <v>唱歌</v>
      </c>
      <c r="AE91" t="str">
        <f>"父女|殷保金|个体||母女|周勤芳|个体||姐弟|殷洲庆|合肥经济职业技术学校|学生"</f>
        <v>父女|殷保金|个体||母女|周勤芳|个体||姐弟|殷洲庆|合肥经济职业技术学校|学生</v>
      </c>
      <c r="AF91" s="2">
        <v>44984.421377314815</v>
      </c>
      <c r="AG91">
        <v>1</v>
      </c>
      <c r="AH91">
        <v>1</v>
      </c>
      <c r="AI91">
        <v>0</v>
      </c>
      <c r="AJ91" t="s">
        <v>132</v>
      </c>
      <c r="AK91" s="4">
        <v>72.8</v>
      </c>
      <c r="AL91" s="4">
        <v>64.3</v>
      </c>
      <c r="AM91" s="4">
        <v>68.55</v>
      </c>
      <c r="AN91">
        <v>0</v>
      </c>
    </row>
    <row r="92" spans="1:40" ht="18" customHeight="1">
      <c r="A92" t="str">
        <f>"141720230227085652340425"</f>
        <v>141720230227085652340425</v>
      </c>
      <c r="B92" t="s">
        <v>44</v>
      </c>
      <c r="C92" t="str">
        <f>"龚越"</f>
        <v>龚越</v>
      </c>
      <c r="D92" t="str">
        <f t="shared" si="22"/>
        <v>女</v>
      </c>
      <c r="E92" t="str">
        <f>"1999-10"</f>
        <v>1999-10</v>
      </c>
      <c r="F92" t="str">
        <f>"安徽六安"</f>
        <v>安徽六安</v>
      </c>
      <c r="G92" t="str">
        <f t="shared" si="28"/>
        <v>汉族</v>
      </c>
      <c r="H92" t="str">
        <f>"共青团员"</f>
        <v>共青团员</v>
      </c>
      <c r="I92" t="str">
        <f>"342426199910201829"</f>
        <v>342426199910201829</v>
      </c>
      <c r="J92" t="str">
        <f t="shared" si="34"/>
        <v>未婚</v>
      </c>
      <c r="K92" t="str">
        <f>"本科"</f>
        <v>本科</v>
      </c>
      <c r="L92" t="str">
        <f>"学士学位"</f>
        <v>学士学位</v>
      </c>
      <c r="M92" t="str">
        <f>"学前教育"</f>
        <v>学前教育</v>
      </c>
      <c r="N92" t="str">
        <f>"宿州学院"</f>
        <v>宿州学院</v>
      </c>
      <c r="O92" t="str">
        <f>"2022-7月"</f>
        <v>2022-7月</v>
      </c>
      <c r="P92" t="str">
        <f>"本科"</f>
        <v>本科</v>
      </c>
      <c r="Q92" t="str">
        <f>"学士学位"</f>
        <v>学士学位</v>
      </c>
      <c r="R92" t="str">
        <f t="shared" si="33"/>
        <v>学前教育</v>
      </c>
      <c r="S92" t="str">
        <f>"宿州学院"</f>
        <v>宿州学院</v>
      </c>
      <c r="T92" t="str">
        <f>"2022-7"</f>
        <v>2022-7</v>
      </c>
      <c r="U92" t="str">
        <f>"幼儿教师资格证 小学资格证"</f>
        <v>幼儿教师资格证 小学资格证</v>
      </c>
      <c r="V92" t="str">
        <f>"2022-6至2023至今"</f>
        <v>2022-6至2023至今</v>
      </c>
      <c r="W92" t="str">
        <f t="shared" si="35"/>
        <v>无</v>
      </c>
      <c r="X92" t="str">
        <f t="shared" si="30"/>
        <v>是</v>
      </c>
      <c r="Y92" t="str">
        <f>"中国电信"</f>
        <v>中国电信</v>
      </c>
      <c r="Z92" t="str">
        <f>"13339115059"</f>
        <v>13339115059</v>
      </c>
      <c r="AA92" t="str">
        <f>"合肥长丰县奥青城"</f>
        <v>合肥长丰县奥青城</v>
      </c>
      <c r="AB92" t="str">
        <f>"2015.9-2018.6金寨职业学校学生   2018.9-2022.7宿州学院学生  2022.7-2023至今中国电信员工"</f>
        <v>2015.9-2018.6金寨职业学校学生   2018.9-2022.7宿州学院学生  2022.7-2023至今中国电信员工</v>
      </c>
      <c r="AC92" t="str">
        <f>"宿州市禁毒舞蹈一等奖   安徽省禁毒舞蹈优秀奖"</f>
        <v>宿州市禁毒舞蹈一等奖   安徽省禁毒舞蹈优秀奖</v>
      </c>
      <c r="AD92" t="str">
        <f>"唱歌 "</f>
        <v>唱歌 </v>
      </c>
      <c r="AE92" t="str">
        <f>"母女|江华荣|无|无|父女|龚来明|自营|自营|姐妹|龚雪|鹏澜建设有限公司|财务"</f>
        <v>母女|江华荣|无|无|父女|龚来明|自营|自营|姐妹|龚雪|鹏澜建设有限公司|财务</v>
      </c>
      <c r="AF92" s="2">
        <v>44984.54209490741</v>
      </c>
      <c r="AG92">
        <v>1</v>
      </c>
      <c r="AH92">
        <v>1</v>
      </c>
      <c r="AI92">
        <v>0</v>
      </c>
      <c r="AJ92" t="s">
        <v>133</v>
      </c>
      <c r="AK92" s="4">
        <v>54.6</v>
      </c>
      <c r="AL92" s="4">
        <v>61.6</v>
      </c>
      <c r="AM92" s="4">
        <v>58.1</v>
      </c>
      <c r="AN92">
        <v>0</v>
      </c>
    </row>
    <row r="93" spans="1:40" ht="18" customHeight="1">
      <c r="A93" t="str">
        <f>"141720230227093839340432"</f>
        <v>141720230227093839340432</v>
      </c>
      <c r="B93" t="s">
        <v>44</v>
      </c>
      <c r="C93" t="str">
        <f>"朱紫娟"</f>
        <v>朱紫娟</v>
      </c>
      <c r="D93" t="str">
        <f t="shared" si="22"/>
        <v>女</v>
      </c>
      <c r="E93" t="str">
        <f>"2002.3.4"</f>
        <v>2002.3.4</v>
      </c>
      <c r="F93" t="str">
        <f>"安庆市宿松县"</f>
        <v>安庆市宿松县</v>
      </c>
      <c r="G93" t="str">
        <f t="shared" si="28"/>
        <v>汉族</v>
      </c>
      <c r="H93" t="str">
        <f>"群众"</f>
        <v>群众</v>
      </c>
      <c r="I93" t="str">
        <f>"340826200204164843"</f>
        <v>340826200204164843</v>
      </c>
      <c r="J93" t="str">
        <f t="shared" si="34"/>
        <v>未婚</v>
      </c>
      <c r="K93" t="str">
        <f>"大专"</f>
        <v>大专</v>
      </c>
      <c r="L93" t="str">
        <f>"大专"</f>
        <v>大专</v>
      </c>
      <c r="M93" t="str">
        <f>"学前教育"</f>
        <v>学前教育</v>
      </c>
      <c r="N93" t="str">
        <f>"阜阳幼儿师范高等专科学校"</f>
        <v>阜阳幼儿师范高等专科学校</v>
      </c>
      <c r="O93" t="str">
        <f>"2022.6"</f>
        <v>2022.6</v>
      </c>
      <c r="P93" t="str">
        <f>"大专"</f>
        <v>大专</v>
      </c>
      <c r="Q93" t="str">
        <f>"大专"</f>
        <v>大专</v>
      </c>
      <c r="R93" t="str">
        <f t="shared" si="33"/>
        <v>学前教育</v>
      </c>
      <c r="S93" t="str">
        <f>"阜阳幼儿师范高等专科学校"</f>
        <v>阜阳幼儿师范高等专科学校</v>
      </c>
      <c r="T93" t="str">
        <f>"2022.6"</f>
        <v>2022.6</v>
      </c>
      <c r="U93" t="str">
        <f>"幼儿园教师资格证"</f>
        <v>幼儿园教师资格证</v>
      </c>
      <c r="V93" t="str">
        <f>"一年"</f>
        <v>一年</v>
      </c>
      <c r="W93" t="str">
        <f t="shared" si="35"/>
        <v>无</v>
      </c>
      <c r="X93" t="str">
        <f t="shared" si="30"/>
        <v>是</v>
      </c>
      <c r="Y93" t="str">
        <f>"上派镇中心幼儿园观澜印象幼儿园"</f>
        <v>上派镇中心幼儿园观澜印象幼儿园</v>
      </c>
      <c r="Z93" t="str">
        <f>"18455668288"</f>
        <v>18455668288</v>
      </c>
      <c r="AA93" t="str">
        <f>"金星和园四期10栋1404"</f>
        <v>金星和园四期10栋1404</v>
      </c>
      <c r="AB93" t="str">
        <f>"本人从2017年在肥西县肥西师范就读学前教育专业五年制于2022六月份毕业"</f>
        <v>本人从2017年在肥西县肥西师范就读学前教育专业五年制于2022六月份毕业</v>
      </c>
      <c r="AC93" t="str">
        <f>"本人连续得三等奖学金三次"</f>
        <v>本人连续得三等奖学金三次</v>
      </c>
      <c r="AD93" t="str">
        <f>"爱好画画，做手工"</f>
        <v>爱好画画，做手工</v>
      </c>
      <c r="AE93" t="str">
        <f>"父女|朱晓华|个体户|老板|母女|石金花|个体户|老板|姐弟|朱子豪|学生|学生"</f>
        <v>父女|朱晓华|个体户|老板|母女|石金花|个体户|老板|姐弟|朱子豪|学生|学生</v>
      </c>
      <c r="AF93" s="2">
        <v>44985.48608796296</v>
      </c>
      <c r="AG93">
        <v>1</v>
      </c>
      <c r="AH93">
        <v>1</v>
      </c>
      <c r="AI93">
        <v>0</v>
      </c>
      <c r="AJ93" t="s">
        <v>134</v>
      </c>
      <c r="AK93" s="4">
        <v>65.9</v>
      </c>
      <c r="AL93" s="4">
        <v>60.1</v>
      </c>
      <c r="AM93" s="4">
        <v>63</v>
      </c>
      <c r="AN93">
        <v>0</v>
      </c>
    </row>
    <row r="94" spans="1:40" ht="18" customHeight="1">
      <c r="A94" t="str">
        <f>"141720230227101748340444"</f>
        <v>141720230227101748340444</v>
      </c>
      <c r="B94" t="s">
        <v>44</v>
      </c>
      <c r="C94" t="str">
        <f>"王慧彦"</f>
        <v>王慧彦</v>
      </c>
      <c r="D94" t="str">
        <f t="shared" si="22"/>
        <v>女</v>
      </c>
      <c r="E94" t="str">
        <f>"1996-04"</f>
        <v>1996-04</v>
      </c>
      <c r="F94" t="str">
        <f>"安徽省庐阳区"</f>
        <v>安徽省庐阳区</v>
      </c>
      <c r="G94" t="str">
        <f t="shared" si="28"/>
        <v>汉族</v>
      </c>
      <c r="H94" t="str">
        <f>"共青团员"</f>
        <v>共青团员</v>
      </c>
      <c r="I94" t="str">
        <f>"340102199604110022"</f>
        <v>340102199604110022</v>
      </c>
      <c r="J94" t="str">
        <f>"已婚"</f>
        <v>已婚</v>
      </c>
      <c r="K94" t="str">
        <f>"大专"</f>
        <v>大专</v>
      </c>
      <c r="L94" t="str">
        <f>"大专"</f>
        <v>大专</v>
      </c>
      <c r="M94" t="str">
        <f>"学前教育"</f>
        <v>学前教育</v>
      </c>
      <c r="N94" t="str">
        <f>"合肥幼儿师范高等专科学校"</f>
        <v>合肥幼儿师范高等专科学校</v>
      </c>
      <c r="O94" t="str">
        <f>"2017年7月"</f>
        <v>2017年7月</v>
      </c>
      <c r="P94" t="str">
        <f>"大专"</f>
        <v>大专</v>
      </c>
      <c r="Q94" t="str">
        <f>"大专"</f>
        <v>大专</v>
      </c>
      <c r="R94" t="str">
        <f t="shared" si="33"/>
        <v>学前教育</v>
      </c>
      <c r="S94" t="str">
        <f>"合肥幼儿师范高等专科学校"</f>
        <v>合肥幼儿师范高等专科学校</v>
      </c>
      <c r="T94" t="str">
        <f>"2017年7月"</f>
        <v>2017年7月</v>
      </c>
      <c r="U94" t="str">
        <f>"幼儿教师资格证、普通话一级证书、三级教师聘书、英语四级证书"</f>
        <v>幼儿教师资格证、普通话一级证书、三级教师聘书、英语四级证书</v>
      </c>
      <c r="V94" t="str">
        <f>"6年"</f>
        <v>6年</v>
      </c>
      <c r="W94" t="str">
        <f>"三级教师"</f>
        <v>三级教师</v>
      </c>
      <c r="X94" t="str">
        <f t="shared" si="30"/>
        <v>是</v>
      </c>
      <c r="Y94" t="str">
        <f>"无"</f>
        <v>无</v>
      </c>
      <c r="Z94" t="str">
        <f>"15855109674"</f>
        <v>15855109674</v>
      </c>
      <c r="AA94" t="str">
        <f>"安徽省合肥市庐阳区"</f>
        <v>安徽省合肥市庐阳区</v>
      </c>
      <c r="AB94" s="1" t="str">
        <f>"2010-2014  合肥一中
2014-2017 合肥幼儿师范高等专科学校"</f>
        <v>2010-2014  合肥一中
2014-2017 合肥幼儿师范高等专科学校</v>
      </c>
      <c r="AC94" t="str">
        <f>"市级先进班级"</f>
        <v>市级先进班级</v>
      </c>
      <c r="AD94" t="str">
        <f>"舞蹈、声乐"</f>
        <v>舞蹈、声乐</v>
      </c>
      <c r="AE94" t="str">
        <f>"母亲|徐牟|其他|其他|父亲|王缪|其他|其他|宠物|大咪|家|弟弟"</f>
        <v>母亲|徐牟|其他|其他|父亲|王缪|其他|其他|宠物|大咪|家|弟弟</v>
      </c>
      <c r="AF94" s="2">
        <v>44985.48552083333</v>
      </c>
      <c r="AG94">
        <v>1</v>
      </c>
      <c r="AH94">
        <v>1</v>
      </c>
      <c r="AI94">
        <v>0</v>
      </c>
      <c r="AJ94" t="s">
        <v>135</v>
      </c>
      <c r="AK94" s="4">
        <v>73.7</v>
      </c>
      <c r="AL94" s="4">
        <v>59</v>
      </c>
      <c r="AM94" s="4">
        <v>66.35</v>
      </c>
      <c r="AN94">
        <v>0</v>
      </c>
    </row>
    <row r="95" spans="1:40" ht="18" customHeight="1">
      <c r="A95" t="str">
        <f>"141720230227115131340471"</f>
        <v>141720230227115131340471</v>
      </c>
      <c r="B95" t="s">
        <v>44</v>
      </c>
      <c r="C95" t="str">
        <f>"杨彦翕"</f>
        <v>杨彦翕</v>
      </c>
      <c r="D95" t="str">
        <f t="shared" si="22"/>
        <v>女</v>
      </c>
      <c r="E95" t="str">
        <f>"1996-7"</f>
        <v>1996-7</v>
      </c>
      <c r="F95" t="str">
        <f>"安徽淮南"</f>
        <v>安徽淮南</v>
      </c>
      <c r="G95" t="str">
        <f t="shared" si="28"/>
        <v>汉族</v>
      </c>
      <c r="H95" t="str">
        <f>"群众"</f>
        <v>群众</v>
      </c>
      <c r="I95" t="str">
        <f>"340403199607010820"</f>
        <v>340403199607010820</v>
      </c>
      <c r="J95" t="str">
        <f>"未婚"</f>
        <v>未婚</v>
      </c>
      <c r="K95" t="str">
        <f>"本科"</f>
        <v>本科</v>
      </c>
      <c r="L95" t="str">
        <f aca="true" t="shared" si="36" ref="L95:L100">"无"</f>
        <v>无</v>
      </c>
      <c r="M95" t="str">
        <f>"小学教育"</f>
        <v>小学教育</v>
      </c>
      <c r="N95" t="str">
        <f>"北京师范大学"</f>
        <v>北京师范大学</v>
      </c>
      <c r="O95" t="str">
        <f>"2020-7"</f>
        <v>2020-7</v>
      </c>
      <c r="P95" t="str">
        <f>"大专"</f>
        <v>大专</v>
      </c>
      <c r="Q95" t="str">
        <f aca="true" t="shared" si="37" ref="Q95:Q100">"无"</f>
        <v>无</v>
      </c>
      <c r="R95" t="str">
        <f t="shared" si="33"/>
        <v>学前教育</v>
      </c>
      <c r="S95" t="str">
        <f>"华中师范大学"</f>
        <v>华中师范大学</v>
      </c>
      <c r="T95" t="str">
        <f>"2017-7"</f>
        <v>2017-7</v>
      </c>
      <c r="U95" t="str">
        <f>"幼儿园教师资格证 小学音乐教师资格证"</f>
        <v>幼儿园教师资格证 小学音乐教师资格证</v>
      </c>
      <c r="V95" t="str">
        <f>"幼儿园工作8个月，小学工作四年"</f>
        <v>幼儿园工作8个月，小学工作四年</v>
      </c>
      <c r="W95" t="str">
        <f>"中小学二级教师"</f>
        <v>中小学二级教师</v>
      </c>
      <c r="X95" t="str">
        <f>"否"</f>
        <v>否</v>
      </c>
      <c r="Y95" t="str">
        <f>"田十三小"</f>
        <v>田十三小</v>
      </c>
      <c r="Z95" t="str">
        <f>"18655428071"</f>
        <v>18655428071</v>
      </c>
      <c r="AA95" t="str">
        <f>"安徽省淮南市田家庵区田东小岛新村"</f>
        <v>安徽省淮南市田家庵区田东小岛新村</v>
      </c>
      <c r="AB95" s="1" t="str">
        <f>"2011.9-2014.6 淮南四中 学生
2014.9-2018.7 北京国际商务学院 学前教育专业 学生（民办全日制）
2015.3-2017.7 华中师范大学 学前教育专业 学生（网络教育专科）
2017.9-2020.7 北京师范大学 小学教育专业 学生（网络教育本科）
2018.2-2018.10 北京智汇好吧可乐佳幼儿园 老师
2018.11至今 田十三小 音乐老师"</f>
        <v>2011.9-2014.6 淮南四中 学生
2014.9-2018.7 北京国际商务学院 学前教育专业 学生（民办全日制）
2015.3-2017.7 华中师范大学 学前教育专业 学生（网络教育专科）
2017.9-2020.7 北京师范大学 小学教育专业 学生（网络教育本科）
2018.2-2018.10 北京智汇好吧可乐佳幼儿园 老师
2018.11至今 田十三小 音乐老师</v>
      </c>
      <c r="AC95" t="str">
        <f>"2019年获音乐区级一师一优课"</f>
        <v>2019年获音乐区级一师一优课</v>
      </c>
      <c r="AD95" t="str">
        <f>"钢琴"</f>
        <v>钢琴</v>
      </c>
      <c r="AE95" t="str">
        <f>"父亲|杨子全|华工胶管|工人|母亲|贺书华|球拍场|工人退休||||"</f>
        <v>父亲|杨子全|华工胶管|工人|母亲|贺书华|球拍场|工人退休||||</v>
      </c>
      <c r="AF95" s="2">
        <v>44984.55144675926</v>
      </c>
      <c r="AG95">
        <v>1</v>
      </c>
      <c r="AH95">
        <v>1</v>
      </c>
      <c r="AI95">
        <v>0</v>
      </c>
      <c r="AJ95" t="s">
        <v>136</v>
      </c>
      <c r="AK95" s="4">
        <v>67.6</v>
      </c>
      <c r="AL95" s="4">
        <v>66</v>
      </c>
      <c r="AM95" s="4">
        <v>66.8</v>
      </c>
      <c r="AN95">
        <v>0</v>
      </c>
    </row>
    <row r="96" spans="1:40" ht="18" customHeight="1">
      <c r="A96" t="str">
        <f>"141720230227121205340473"</f>
        <v>141720230227121205340473</v>
      </c>
      <c r="B96" t="s">
        <v>44</v>
      </c>
      <c r="C96" t="str">
        <f>"周传静"</f>
        <v>周传静</v>
      </c>
      <c r="D96" t="str">
        <f t="shared" si="22"/>
        <v>女</v>
      </c>
      <c r="E96" t="str">
        <f>"1998-08"</f>
        <v>1998-08</v>
      </c>
      <c r="F96" t="str">
        <f>"安徽阜阳"</f>
        <v>安徽阜阳</v>
      </c>
      <c r="G96" t="str">
        <f t="shared" si="28"/>
        <v>汉族</v>
      </c>
      <c r="H96" t="str">
        <f>"共青团员"</f>
        <v>共青团员</v>
      </c>
      <c r="I96" t="str">
        <f>"341225199808156867"</f>
        <v>341225199808156867</v>
      </c>
      <c r="J96" t="str">
        <f>"未婚"</f>
        <v>未婚</v>
      </c>
      <c r="K96" t="str">
        <f>"大专"</f>
        <v>大专</v>
      </c>
      <c r="L96" t="str">
        <f t="shared" si="36"/>
        <v>无</v>
      </c>
      <c r="M96" t="str">
        <f aca="true" t="shared" si="38" ref="M96:M106">"学前教育"</f>
        <v>学前教育</v>
      </c>
      <c r="N96" t="str">
        <f>"亳州学院"</f>
        <v>亳州学院</v>
      </c>
      <c r="O96" t="str">
        <f>"2020-06-25"</f>
        <v>2020-06-25</v>
      </c>
      <c r="P96" t="str">
        <f>"大专"</f>
        <v>大专</v>
      </c>
      <c r="Q96" t="str">
        <f t="shared" si="37"/>
        <v>无</v>
      </c>
      <c r="R96" t="str">
        <f t="shared" si="33"/>
        <v>学前教育</v>
      </c>
      <c r="S96" t="str">
        <f>"亳州学院"</f>
        <v>亳州学院</v>
      </c>
      <c r="T96" t="str">
        <f>"2020-06-25"</f>
        <v>2020-06-25</v>
      </c>
      <c r="U96" t="str">
        <f>"幼儿教师资格证"</f>
        <v>幼儿教师资格证</v>
      </c>
      <c r="V96" t="str">
        <f>"2年"</f>
        <v>2年</v>
      </c>
      <c r="W96" t="str">
        <f>"无"</f>
        <v>无</v>
      </c>
      <c r="X96" t="str">
        <f>"是"</f>
        <v>是</v>
      </c>
      <c r="Y96" t="str">
        <f>"段郢乡中心幼儿园"</f>
        <v>段郢乡中心幼儿园</v>
      </c>
      <c r="Z96" t="str">
        <f>"13966553573"</f>
        <v>13966553573</v>
      </c>
      <c r="AA96" t="str">
        <f>"安徽省阜阳市阜南县鹿城镇城西派出所旁雪绒蓄产品公司"</f>
        <v>安徽省阜阳市阜南县鹿城镇城西派出所旁雪绒蓄产品公司</v>
      </c>
      <c r="AB96" s="1" t="str">
        <f>"2015.09-2018.06  亳州幼儿师范学校  学生
2018.09-2020.06  亳州学院          学生
2020.09-2021.06  阜阳市政府幼儿园  教师
2021.09-2022.06  阜南县十二小附属幼儿园  教师
2022.09-至今     段郢乡中心幼儿园  教师"</f>
        <v>2015.09-2018.06  亳州幼儿师范学校  学生
2018.09-2020.06  亳州学院          学生
2020.09-2021.06  阜阳市政府幼儿园  教师
2021.09-2022.06  阜南县十二小附属幼儿园  教师
2022.09-至今     段郢乡中心幼儿园  教师</v>
      </c>
      <c r="AC96" t="str">
        <f>"无"</f>
        <v>无</v>
      </c>
      <c r="AD96" t="str">
        <f>"舞蹈  声乐"</f>
        <v>舞蹈  声乐</v>
      </c>
      <c r="AE96" t="str">
        <f>"父亲|周开华|无|无|母亲|方献霞|无|无||||"</f>
        <v>父亲|周开华|无|无|母亲|方献霞|无|无||||</v>
      </c>
      <c r="AF96" s="2">
        <v>44984.55265046296</v>
      </c>
      <c r="AG96">
        <v>1</v>
      </c>
      <c r="AH96">
        <v>1</v>
      </c>
      <c r="AI96">
        <v>0</v>
      </c>
      <c r="AJ96" t="s">
        <v>137</v>
      </c>
      <c r="AK96" s="4">
        <v>55</v>
      </c>
      <c r="AL96" s="4">
        <v>54.2</v>
      </c>
      <c r="AM96" s="4">
        <v>54.6</v>
      </c>
      <c r="AN96">
        <v>0</v>
      </c>
    </row>
    <row r="97" spans="1:40" ht="18" customHeight="1">
      <c r="A97" t="str">
        <f>"141720230227122633340475"</f>
        <v>141720230227122633340475</v>
      </c>
      <c r="B97" t="s">
        <v>44</v>
      </c>
      <c r="C97" t="str">
        <f>"张紫旋"</f>
        <v>张紫旋</v>
      </c>
      <c r="D97" t="str">
        <f t="shared" si="22"/>
        <v>女</v>
      </c>
      <c r="E97" t="str">
        <f>"2003年5月1号"</f>
        <v>2003年5月1号</v>
      </c>
      <c r="F97" t="str">
        <f>"安徽亳州市"</f>
        <v>安徽亳州市</v>
      </c>
      <c r="G97" t="str">
        <f t="shared" si="28"/>
        <v>汉族</v>
      </c>
      <c r="H97" t="str">
        <f>"共青团员"</f>
        <v>共青团员</v>
      </c>
      <c r="I97" t="str">
        <f>"341623200305010721"</f>
        <v>341623200305010721</v>
      </c>
      <c r="J97" t="str">
        <f>"未婚"</f>
        <v>未婚</v>
      </c>
      <c r="K97" t="str">
        <f>"大专"</f>
        <v>大专</v>
      </c>
      <c r="L97" t="str">
        <f t="shared" si="36"/>
        <v>无</v>
      </c>
      <c r="M97" t="str">
        <f t="shared" si="38"/>
        <v>学前教育</v>
      </c>
      <c r="N97" t="str">
        <f>"马鞍山师范高等专科学校"</f>
        <v>马鞍山师范高等专科学校</v>
      </c>
      <c r="O97" t="str">
        <f>"2022年6月"</f>
        <v>2022年6月</v>
      </c>
      <c r="P97" t="str">
        <f>"大专"</f>
        <v>大专</v>
      </c>
      <c r="Q97" t="str">
        <f t="shared" si="37"/>
        <v>无</v>
      </c>
      <c r="R97" t="str">
        <f t="shared" si="33"/>
        <v>学前教育</v>
      </c>
      <c r="S97" t="str">
        <f>"马鞍山师范高等专科学校"</f>
        <v>马鞍山师范高等专科学校</v>
      </c>
      <c r="T97" t="str">
        <f>"2022年6月"</f>
        <v>2022年6月</v>
      </c>
      <c r="U97" t="str">
        <f>"幼儿园教师资格证 二甲普通话证书"</f>
        <v>幼儿园教师资格证 二甲普通话证书</v>
      </c>
      <c r="V97" t="str">
        <f>"一年"</f>
        <v>一年</v>
      </c>
      <c r="W97" t="str">
        <f>"无"</f>
        <v>无</v>
      </c>
      <c r="X97" t="str">
        <f>"是"</f>
        <v>是</v>
      </c>
      <c r="Y97" t="str">
        <f>"利辛县第三幼儿园"</f>
        <v>利辛县第三幼儿园</v>
      </c>
      <c r="Z97" t="str">
        <f>"15255913405"</f>
        <v>15255913405</v>
      </c>
      <c r="AA97" t="str">
        <f>"安徽省亳州市利辛县城关镇杨大楼村张寺庄"</f>
        <v>安徽省亳州市利辛县城关镇杨大楼村张寺庄</v>
      </c>
      <c r="AB97" s="1" t="str">
        <f>"2017.09-2020.06年芜湖师范学校 学生
2020.09-2022.06年马鞍山师范高等专科学校 学生
2022.09-至今利辛县第三幼儿园 教师"</f>
        <v>2017.09-2020.06年芜湖师范学校 学生
2020.09-2022.06年马鞍山师范高等专科学校 学生
2022.09-至今利辛县第三幼儿园 教师</v>
      </c>
      <c r="AC97" t="str">
        <f>"无"</f>
        <v>无</v>
      </c>
      <c r="AD97" t="str">
        <f>"无"</f>
        <v>无</v>
      </c>
      <c r="AE97" t="str">
        <f>"父亲|张化冰|个体户|个体户|母亲|刘春侠|安徽省亳州市利辛县城关镇|农民||||"</f>
        <v>父亲|张化冰|个体户|个体户|母亲|刘春侠|安徽省亳州市利辛县城关镇|农民||||</v>
      </c>
      <c r="AF97" s="2">
        <v>44985.4906712963</v>
      </c>
      <c r="AG97">
        <v>1</v>
      </c>
      <c r="AH97">
        <v>1</v>
      </c>
      <c r="AI97">
        <v>0</v>
      </c>
      <c r="AJ97" t="s">
        <v>138</v>
      </c>
      <c r="AK97" s="4">
        <v>59.2</v>
      </c>
      <c r="AL97" s="4">
        <v>55.3</v>
      </c>
      <c r="AM97" s="4">
        <v>57.25</v>
      </c>
      <c r="AN97">
        <v>0</v>
      </c>
    </row>
    <row r="98" spans="1:40" ht="18" customHeight="1">
      <c r="A98" t="str">
        <f>"141720230227122927340477"</f>
        <v>141720230227122927340477</v>
      </c>
      <c r="B98" t="s">
        <v>44</v>
      </c>
      <c r="C98" t="str">
        <f>"杨新悦"</f>
        <v>杨新悦</v>
      </c>
      <c r="D98" t="str">
        <f t="shared" si="22"/>
        <v>女</v>
      </c>
      <c r="E98" t="str">
        <f>"2002.11.17"</f>
        <v>2002.11.17</v>
      </c>
      <c r="F98" t="str">
        <f>"安徽瑶海"</f>
        <v>安徽瑶海</v>
      </c>
      <c r="G98" t="str">
        <f t="shared" si="28"/>
        <v>汉族</v>
      </c>
      <c r="H98" t="str">
        <f>"共青团员"</f>
        <v>共青团员</v>
      </c>
      <c r="I98" t="str">
        <f>"341502200211178163"</f>
        <v>341502200211178163</v>
      </c>
      <c r="J98" t="str">
        <f>"未婚"</f>
        <v>未婚</v>
      </c>
      <c r="K98" t="str">
        <f>"本科"</f>
        <v>本科</v>
      </c>
      <c r="L98" t="str">
        <f t="shared" si="36"/>
        <v>无</v>
      </c>
      <c r="M98" t="str">
        <f t="shared" si="38"/>
        <v>学前教育</v>
      </c>
      <c r="N98" t="str">
        <f>"合肥学院"</f>
        <v>合肥学院</v>
      </c>
      <c r="O98" t="str">
        <f>"2023年7月"</f>
        <v>2023年7月</v>
      </c>
      <c r="P98" t="str">
        <f>"大专"</f>
        <v>大专</v>
      </c>
      <c r="Q98" t="str">
        <f t="shared" si="37"/>
        <v>无</v>
      </c>
      <c r="R98" t="str">
        <f t="shared" si="33"/>
        <v>学前教育</v>
      </c>
      <c r="S98" t="str">
        <f>"合肥职工科技大学"</f>
        <v>合肥职工科技大学</v>
      </c>
      <c r="T98" t="str">
        <f>"2020年6月"</f>
        <v>2020年6月</v>
      </c>
      <c r="U98" t="str">
        <f>"幼儿园教师资格证书"</f>
        <v>幼儿园教师资格证书</v>
      </c>
      <c r="V98" t="str">
        <f>"两年"</f>
        <v>两年</v>
      </c>
      <c r="W98" t="str">
        <f>"无"</f>
        <v>无</v>
      </c>
      <c r="X98" t="str">
        <f>"否"</f>
        <v>否</v>
      </c>
      <c r="Y98" t="str">
        <f>"合肥城市丽景幼儿园"</f>
        <v>合肥城市丽景幼儿园</v>
      </c>
      <c r="Z98" t="str">
        <f>"18726396502"</f>
        <v>18726396502</v>
      </c>
      <c r="AA98" t="str">
        <f>"安徽省合肥市瑶海区"</f>
        <v>安徽省合肥市瑶海区</v>
      </c>
      <c r="AB98" s="1" t="str">
        <f>"2018.9-2020.6  合肥职工科技大学     学生
2020.7-至今     合肥城市丽景幼儿园  教师
"</f>
        <v>2018.9-2020.6  合肥职工科技大学     学生
2020.7-至今     合肥城市丽景幼儿园  教师
</v>
      </c>
      <c r="AC98" t="str">
        <f>"无"</f>
        <v>无</v>
      </c>
      <c r="AD98" t="str">
        <f>"钢琴、绘画"</f>
        <v>钢琴、绘画</v>
      </c>
      <c r="AE98" t="str">
        <f>"母女|胡正翠|安徽省六安市金安区|个体|父女|杨孝林|安徽省江苏市|个体|姐弟|杨保龙|安徽省六安市一中|学生"</f>
        <v>母女|胡正翠|安徽省六安市金安区|个体|父女|杨孝林|安徽省江苏市|个体|姐弟|杨保龙|安徽省六安市一中|学生</v>
      </c>
      <c r="AF98" s="2">
        <v>44986.376967592594</v>
      </c>
      <c r="AG98">
        <v>1</v>
      </c>
      <c r="AH98">
        <v>1</v>
      </c>
      <c r="AI98">
        <v>0</v>
      </c>
      <c r="AJ98" t="s">
        <v>139</v>
      </c>
      <c r="AK98" s="4">
        <v>53.8</v>
      </c>
      <c r="AL98" s="4">
        <v>58.6</v>
      </c>
      <c r="AM98" s="4">
        <v>56.2</v>
      </c>
      <c r="AN98">
        <v>0</v>
      </c>
    </row>
    <row r="99" spans="1:40" ht="18" customHeight="1">
      <c r="A99" t="str">
        <f>"141720230227122929340478"</f>
        <v>141720230227122929340478</v>
      </c>
      <c r="B99" t="s">
        <v>44</v>
      </c>
      <c r="C99" t="str">
        <f>"郑燕"</f>
        <v>郑燕</v>
      </c>
      <c r="D99" t="str">
        <f t="shared" si="22"/>
        <v>女</v>
      </c>
      <c r="E99" t="str">
        <f>"1993-11"</f>
        <v>1993-11</v>
      </c>
      <c r="F99" t="str">
        <f>"安徽长丰县"</f>
        <v>安徽长丰县</v>
      </c>
      <c r="G99" t="str">
        <f t="shared" si="28"/>
        <v>汉族</v>
      </c>
      <c r="H99" t="str">
        <f>"群众"</f>
        <v>群众</v>
      </c>
      <c r="I99" t="str">
        <f>"340121199311299123"</f>
        <v>340121199311299123</v>
      </c>
      <c r="J99" t="str">
        <f>"未婚"</f>
        <v>未婚</v>
      </c>
      <c r="K99" t="str">
        <f>"本科"</f>
        <v>本科</v>
      </c>
      <c r="L99" t="str">
        <f t="shared" si="36"/>
        <v>无</v>
      </c>
      <c r="M99" t="str">
        <f t="shared" si="38"/>
        <v>学前教育</v>
      </c>
      <c r="N99" t="str">
        <f>"合肥学院"</f>
        <v>合肥学院</v>
      </c>
      <c r="O99" t="str">
        <f>"2017.7.30"</f>
        <v>2017.7.30</v>
      </c>
      <c r="P99" t="str">
        <f>"专科"</f>
        <v>专科</v>
      </c>
      <c r="Q99" t="str">
        <f t="shared" si="37"/>
        <v>无</v>
      </c>
      <c r="R99" t="str">
        <f>"初等教育"</f>
        <v>初等教育</v>
      </c>
      <c r="S99" t="str">
        <f>"合肥学院"</f>
        <v>合肥学院</v>
      </c>
      <c r="T99" t="str">
        <f>"2014.7.30"</f>
        <v>2014.7.30</v>
      </c>
      <c r="U99" t="str">
        <f>"幼儿园教师资格证"</f>
        <v>幼儿园教师资格证</v>
      </c>
      <c r="V99" t="str">
        <f>"11年"</f>
        <v>11年</v>
      </c>
      <c r="W99" t="str">
        <f>"三级职称"</f>
        <v>三级职称</v>
      </c>
      <c r="X99" t="str">
        <f>"否"</f>
        <v>否</v>
      </c>
      <c r="Y99" t="str">
        <f>"金色童年幼儿园"</f>
        <v>金色童年幼儿园</v>
      </c>
      <c r="Z99" t="str">
        <f>"13966682843"</f>
        <v>13966682843</v>
      </c>
      <c r="AA99" t="str">
        <f>"合肥庐阳区丰大苑7栋"</f>
        <v>合肥庐阳区丰大苑7栋</v>
      </c>
      <c r="AB99" s="1" t="str">
        <f>"2010.9-2011.6合肥精华职业技术学院  学生
2011.9-至今合肥金色童年幼儿园  教师"</f>
        <v>2010.9-2011.6合肥精华职业技术学院  学生
2011.9-至今合肥金色童年幼儿园  教师</v>
      </c>
      <c r="AC99" t="str">
        <f>"无"</f>
        <v>无</v>
      </c>
      <c r="AD99" t="str">
        <f>"跳舞以及创意美术"</f>
        <v>跳舞以及创意美术</v>
      </c>
      <c r="AE99" t="str">
        <f>"父亲|郑贤勇|无|务农|母亲|闫绍花|无|务农||||"</f>
        <v>父亲|郑贤勇|无|务农|母亲|闫绍花|无|务农||||</v>
      </c>
      <c r="AF99" s="2">
        <v>44984.55334490741</v>
      </c>
      <c r="AG99">
        <v>1</v>
      </c>
      <c r="AH99">
        <v>1</v>
      </c>
      <c r="AI99">
        <v>0</v>
      </c>
      <c r="AJ99" t="s">
        <v>140</v>
      </c>
      <c r="AK99" s="4" t="s">
        <v>264</v>
      </c>
      <c r="AL99" s="4" t="s">
        <v>264</v>
      </c>
      <c r="AM99" s="4" t="s">
        <v>264</v>
      </c>
      <c r="AN99">
        <v>0</v>
      </c>
    </row>
    <row r="100" spans="1:40" ht="18" customHeight="1">
      <c r="A100" t="str">
        <f>"141720230227124857340483"</f>
        <v>141720230227124857340483</v>
      </c>
      <c r="B100" t="s">
        <v>44</v>
      </c>
      <c r="C100" t="str">
        <f>"李昊宇"</f>
        <v>李昊宇</v>
      </c>
      <c r="D100" t="str">
        <f>"男"</f>
        <v>男</v>
      </c>
      <c r="E100" t="str">
        <f>"2003-9"</f>
        <v>2003-9</v>
      </c>
      <c r="F100" t="str">
        <f>"安徽省合肥市肥西县"</f>
        <v>安徽省合肥市肥西县</v>
      </c>
      <c r="G100" t="str">
        <f t="shared" si="28"/>
        <v>汉族</v>
      </c>
      <c r="H100" t="str">
        <f>"群众"</f>
        <v>群众</v>
      </c>
      <c r="I100" t="str">
        <f>"340122200309242437"</f>
        <v>340122200309242437</v>
      </c>
      <c r="J100" t="str">
        <f>"已婚"</f>
        <v>已婚</v>
      </c>
      <c r="K100" t="str">
        <f>"大专"</f>
        <v>大专</v>
      </c>
      <c r="L100" t="str">
        <f t="shared" si="36"/>
        <v>无</v>
      </c>
      <c r="M100" t="str">
        <f t="shared" si="38"/>
        <v>学前教育</v>
      </c>
      <c r="N100" t="str">
        <f>"阜阳幼儿师范高等专科学校"</f>
        <v>阜阳幼儿师范高等专科学校</v>
      </c>
      <c r="O100" t="str">
        <f>"2023年7月"</f>
        <v>2023年7月</v>
      </c>
      <c r="P100" t="str">
        <f>"大专"</f>
        <v>大专</v>
      </c>
      <c r="Q100" t="str">
        <f t="shared" si="37"/>
        <v>无</v>
      </c>
      <c r="R100" t="str">
        <f>"学前教育"</f>
        <v>学前教育</v>
      </c>
      <c r="S100" t="str">
        <f>"阜阳幼儿师范高等专科学校"</f>
        <v>阜阳幼儿师范高等专科学校</v>
      </c>
      <c r="T100" t="str">
        <f>"2023年7月"</f>
        <v>2023年7月</v>
      </c>
      <c r="U100" t="str">
        <f>"幼儿教师资格证"</f>
        <v>幼儿教师资格证</v>
      </c>
      <c r="V100" t="str">
        <f>"一年"</f>
        <v>一年</v>
      </c>
      <c r="W100" t="str">
        <f aca="true" t="shared" si="39" ref="W100:W115">"无"</f>
        <v>无</v>
      </c>
      <c r="X100" t="str">
        <f aca="true" t="shared" si="40" ref="X100:X127">"是"</f>
        <v>是</v>
      </c>
      <c r="Y100" t="str">
        <f>"信地华地城幼儿园"</f>
        <v>信地华地城幼儿园</v>
      </c>
      <c r="Z100" t="str">
        <f>"13170255728"</f>
        <v>13170255728</v>
      </c>
      <c r="AA100" t="str">
        <f>"禹州天玺"</f>
        <v>禹州天玺</v>
      </c>
      <c r="AB100" t="str">
        <f>"2018.9-2021.7肥西师范学校；2021.9-2023.7阜阳幼儿师范高等专科学校；2022.8-至今信地华地城幼儿园支教实习"</f>
        <v>2018.9-2021.7肥西师范学校；2021.9-2023.7阜阳幼儿师范高等专科学校；2022.8-至今信地华地城幼儿园支教实习</v>
      </c>
      <c r="AC100" t="str">
        <f>"无"</f>
        <v>无</v>
      </c>
      <c r="AD100" t="str">
        <f>"儿童画，国画，彩绘，古典舞，现代舞"</f>
        <v>儿童画，国画，彩绘，古典舞，现代舞</v>
      </c>
      <c r="AE100" t="str">
        <f>"父亲|李明凯|大润发|售货员||||||||"</f>
        <v>父亲|李明凯|大润发|售货员||||||||</v>
      </c>
      <c r="AF100" s="2">
        <v>44984.55903935185</v>
      </c>
      <c r="AG100">
        <v>1</v>
      </c>
      <c r="AH100">
        <v>1</v>
      </c>
      <c r="AI100">
        <v>0</v>
      </c>
      <c r="AJ100" t="s">
        <v>141</v>
      </c>
      <c r="AK100" s="4">
        <v>73.9</v>
      </c>
      <c r="AL100" s="4">
        <v>60.9</v>
      </c>
      <c r="AM100" s="4">
        <v>67.4</v>
      </c>
      <c r="AN100">
        <v>0</v>
      </c>
    </row>
    <row r="101" spans="1:40" ht="18" customHeight="1">
      <c r="A101" t="str">
        <f>"141720230227125847340487"</f>
        <v>141720230227125847340487</v>
      </c>
      <c r="B101" t="s">
        <v>44</v>
      </c>
      <c r="C101" t="str">
        <f>"胡可"</f>
        <v>胡可</v>
      </c>
      <c r="D101" t="str">
        <f aca="true" t="shared" si="41" ref="D101:D135">"女"</f>
        <v>女</v>
      </c>
      <c r="E101" t="str">
        <f>"2000-01"</f>
        <v>2000-01</v>
      </c>
      <c r="F101" t="str">
        <f>"安徽省阜阳市颍泉区"</f>
        <v>安徽省阜阳市颍泉区</v>
      </c>
      <c r="G101" t="str">
        <f t="shared" si="28"/>
        <v>汉族</v>
      </c>
      <c r="H101" t="str">
        <f>"中共党员"</f>
        <v>中共党员</v>
      </c>
      <c r="I101" t="str">
        <f>"341225200001086840"</f>
        <v>341225200001086840</v>
      </c>
      <c r="J101" t="str">
        <f>"未婚"</f>
        <v>未婚</v>
      </c>
      <c r="K101" t="str">
        <f>"本科"</f>
        <v>本科</v>
      </c>
      <c r="L101" t="str">
        <f>"学士"</f>
        <v>学士</v>
      </c>
      <c r="M101" t="str">
        <f t="shared" si="38"/>
        <v>学前教育</v>
      </c>
      <c r="N101" t="str">
        <f>"蚌埠学院"</f>
        <v>蚌埠学院</v>
      </c>
      <c r="O101" t="str">
        <f>"2023-06"</f>
        <v>2023-06</v>
      </c>
      <c r="P101" t="str">
        <f>"本科"</f>
        <v>本科</v>
      </c>
      <c r="Q101" t="str">
        <f>"学士"</f>
        <v>学士</v>
      </c>
      <c r="R101" t="str">
        <f>"学前教育"</f>
        <v>学前教育</v>
      </c>
      <c r="S101" t="str">
        <f>"蚌埠学院"</f>
        <v>蚌埠学院</v>
      </c>
      <c r="T101" t="str">
        <f>"2023-06"</f>
        <v>2023-06</v>
      </c>
      <c r="U101" t="str">
        <f>"幼儿教师资格证"</f>
        <v>幼儿教师资格证</v>
      </c>
      <c r="V101" t="str">
        <f>"无"</f>
        <v>无</v>
      </c>
      <c r="W101" t="str">
        <f t="shared" si="39"/>
        <v>无</v>
      </c>
      <c r="X101" t="str">
        <f t="shared" si="40"/>
        <v>是</v>
      </c>
      <c r="Y101" t="str">
        <f>"无"</f>
        <v>无</v>
      </c>
      <c r="Z101" t="str">
        <f>"15391748164"</f>
        <v>15391748164</v>
      </c>
      <c r="AA101" t="str">
        <f>"安徽省阜阳市颍泉区"</f>
        <v>安徽省阜阳市颍泉区</v>
      </c>
      <c r="AB101" t="str">
        <f>"2019.9-至今 蚌埠学院"</f>
        <v>2019.9-至今 蚌埠学院</v>
      </c>
      <c r="AC101" t="str">
        <f>"三好学生，优秀学生干部，优秀共青团员，优秀学生奖学金"</f>
        <v>三好学生，优秀学生干部，优秀共青团员，优秀学生奖学金</v>
      </c>
      <c r="AD101" t="str">
        <f>"朗诵，手工，舞蹈"</f>
        <v>朗诵，手工，舞蹈</v>
      </c>
      <c r="AE101" t="str">
        <f>"父女|胡明义|个体户|私营业主|母女|李梅|个体户|私营业主|姐妹|胡晓静|安徽农业大学|研究生"</f>
        <v>父女|胡明义|个体户|私营业主|母女|李梅|个体户|私营业主|姐妹|胡晓静|安徽农业大学|研究生</v>
      </c>
      <c r="AF101" s="2">
        <v>44984.559386574074</v>
      </c>
      <c r="AG101">
        <v>1</v>
      </c>
      <c r="AH101">
        <v>1</v>
      </c>
      <c r="AI101">
        <v>0</v>
      </c>
      <c r="AJ101" t="s">
        <v>142</v>
      </c>
      <c r="AK101" s="4">
        <v>71.9</v>
      </c>
      <c r="AL101" s="4">
        <v>63.8</v>
      </c>
      <c r="AM101" s="4">
        <v>67.85</v>
      </c>
      <c r="AN101">
        <v>0</v>
      </c>
    </row>
    <row r="102" spans="1:40" ht="18" customHeight="1">
      <c r="A102" t="str">
        <f>"141720230227141826340509"</f>
        <v>141720230227141826340509</v>
      </c>
      <c r="B102" t="s">
        <v>44</v>
      </c>
      <c r="C102" t="str">
        <f>"闻艳"</f>
        <v>闻艳</v>
      </c>
      <c r="D102" t="str">
        <f t="shared" si="41"/>
        <v>女</v>
      </c>
      <c r="E102" t="str">
        <f>"1990-9"</f>
        <v>1990-9</v>
      </c>
      <c r="F102" t="str">
        <f>"安徽无为"</f>
        <v>安徽无为</v>
      </c>
      <c r="G102" t="str">
        <f t="shared" si="28"/>
        <v>汉族</v>
      </c>
      <c r="H102" t="str">
        <f>"共青团员"</f>
        <v>共青团员</v>
      </c>
      <c r="I102" t="str">
        <f>"342623199009247121"</f>
        <v>342623199009247121</v>
      </c>
      <c r="J102" t="str">
        <f>"已婚"</f>
        <v>已婚</v>
      </c>
      <c r="K102" t="str">
        <f>"本科"</f>
        <v>本科</v>
      </c>
      <c r="L102" t="str">
        <f>"本科"</f>
        <v>本科</v>
      </c>
      <c r="M102" t="str">
        <f t="shared" si="38"/>
        <v>学前教育</v>
      </c>
      <c r="N102" t="str">
        <f>"安徽师范大学"</f>
        <v>安徽师范大学</v>
      </c>
      <c r="O102" t="str">
        <f>"2013年6月30日"</f>
        <v>2013年6月30日</v>
      </c>
      <c r="P102" t="str">
        <f>"大专"</f>
        <v>大专</v>
      </c>
      <c r="Q102" t="str">
        <f>"大专"</f>
        <v>大专</v>
      </c>
      <c r="R102" t="str">
        <f>"园艺技术"</f>
        <v>园艺技术</v>
      </c>
      <c r="S102" t="str">
        <f>"芜湖职业技术学院"</f>
        <v>芜湖职业技术学院</v>
      </c>
      <c r="T102" t="str">
        <f>"2013年6月30日"</f>
        <v>2013年6月30日</v>
      </c>
      <c r="U102" t="str">
        <f>"幼儿教师资格证，小学英语教师资格证、普通话二甲资格证"</f>
        <v>幼儿教师资格证，小学英语教师资格证、普通话二甲资格证</v>
      </c>
      <c r="V102" t="str">
        <f>"4"</f>
        <v>4</v>
      </c>
      <c r="W102" t="str">
        <f t="shared" si="39"/>
        <v>无</v>
      </c>
      <c r="X102" t="str">
        <f t="shared" si="40"/>
        <v>是</v>
      </c>
      <c r="Y102" t="str">
        <f>"北环阳光幼儿园"</f>
        <v>北环阳光幼儿园</v>
      </c>
      <c r="Z102" t="str">
        <f>"18226180272"</f>
        <v>18226180272</v>
      </c>
      <c r="AA102" t="str">
        <f>"合肥市庐阳区北环阳光小区"</f>
        <v>合肥市庐阳区北环阳光小区</v>
      </c>
      <c r="AB102" s="1" t="str">
        <f>"2006～2009无为襄安中学
2010～2013 芜湖职业技术学院
2021-2023年安徽师范大学
2013～2018合肥庐阳名门华府幼儿园
2018～2023合肥庐阳北环阳光幼儿园"</f>
        <v>2006～2009无为襄安中学
2010～2013 芜湖职业技术学院
2021-2023年安徽师范大学
2013～2018合肥庐阳名门华府幼儿园
2018～2023合肥庐阳北环阳光幼儿园</v>
      </c>
      <c r="AC102" t="str">
        <f>"无"</f>
        <v>无</v>
      </c>
      <c r="AD102" t="str">
        <f>"唱歌跳舞讲故事"</f>
        <v>唱歌跳舞讲故事</v>
      </c>
      <c r="AE102" t="str">
        <f>"丈夫|林潘|合肥曹冲物流园|员工|儿子|林锦航|北环阳光幼儿园|学生|女儿|林锦恬|无|幼儿"</f>
        <v>丈夫|林潘|合肥曹冲物流园|员工|儿子|林锦航|北环阳光幼儿园|学生|女儿|林锦恬|无|幼儿</v>
      </c>
      <c r="AF102" s="2">
        <v>44986.37881944444</v>
      </c>
      <c r="AG102">
        <v>1</v>
      </c>
      <c r="AH102">
        <v>1</v>
      </c>
      <c r="AI102">
        <v>0</v>
      </c>
      <c r="AJ102" t="s">
        <v>143</v>
      </c>
      <c r="AK102" s="4" t="s">
        <v>264</v>
      </c>
      <c r="AL102" s="4" t="s">
        <v>264</v>
      </c>
      <c r="AM102" s="4" t="s">
        <v>264</v>
      </c>
      <c r="AN102">
        <v>0</v>
      </c>
    </row>
    <row r="103" spans="1:40" ht="18" customHeight="1">
      <c r="A103" t="str">
        <f>"141720230227142505340512"</f>
        <v>141720230227142505340512</v>
      </c>
      <c r="B103" t="s">
        <v>44</v>
      </c>
      <c r="C103" t="str">
        <f>"巨慧敏"</f>
        <v>巨慧敏</v>
      </c>
      <c r="D103" t="str">
        <f t="shared" si="41"/>
        <v>女</v>
      </c>
      <c r="E103" t="str">
        <f>"2002-02"</f>
        <v>2002-02</v>
      </c>
      <c r="F103" t="str">
        <f>"安徽省凤阳县"</f>
        <v>安徽省凤阳县</v>
      </c>
      <c r="G103" t="str">
        <f t="shared" si="28"/>
        <v>汉族</v>
      </c>
      <c r="H103" t="str">
        <f>"共青团员"</f>
        <v>共青团员</v>
      </c>
      <c r="I103" t="str">
        <f>"341126200202037528"</f>
        <v>341126200202037528</v>
      </c>
      <c r="J103" t="str">
        <f>"未婚"</f>
        <v>未婚</v>
      </c>
      <c r="K103" t="str">
        <f>"专科"</f>
        <v>专科</v>
      </c>
      <c r="L103" t="str">
        <f>"无"</f>
        <v>无</v>
      </c>
      <c r="M103" t="str">
        <f t="shared" si="38"/>
        <v>学前教育</v>
      </c>
      <c r="N103" t="str">
        <f>"滁州城市职业学院"</f>
        <v>滁州城市职业学院</v>
      </c>
      <c r="O103" t="str">
        <f>"2022"</f>
        <v>2022</v>
      </c>
      <c r="P103" t="str">
        <f>"专科"</f>
        <v>专科</v>
      </c>
      <c r="Q103" t="str">
        <f>"无"</f>
        <v>无</v>
      </c>
      <c r="R103" t="str">
        <f aca="true" t="shared" si="42" ref="R103:R120">"学前教育"</f>
        <v>学前教育</v>
      </c>
      <c r="S103" t="str">
        <f>"滁州城市职业学院"</f>
        <v>滁州城市职业学院</v>
      </c>
      <c r="T103" t="str">
        <f>"2022"</f>
        <v>2022</v>
      </c>
      <c r="U103" t="str">
        <f>"幼儿园教师资格证"</f>
        <v>幼儿园教师资格证</v>
      </c>
      <c r="V103" t="str">
        <f>"半年"</f>
        <v>半年</v>
      </c>
      <c r="W103" t="str">
        <f t="shared" si="39"/>
        <v>无</v>
      </c>
      <c r="X103" t="str">
        <f t="shared" si="40"/>
        <v>是</v>
      </c>
      <c r="Y103" t="str">
        <f>"新华幼教"</f>
        <v>新华幼教</v>
      </c>
      <c r="Z103" t="str">
        <f>"13866534722"</f>
        <v>13866534722</v>
      </c>
      <c r="AA103" t="str">
        <f>"安徽省滁州市凤阳县"</f>
        <v>安徽省滁州市凤阳县</v>
      </c>
      <c r="AB103" s="1" t="str">
        <f>"2017-2022滁州城市职业学院学生
2022-至今新华幼教教职工"</f>
        <v>2017-2022滁州城市职业学院学生
2022-至今新华幼教教职工</v>
      </c>
      <c r="AC103" t="str">
        <f>"无"</f>
        <v>无</v>
      </c>
      <c r="AD103" t="str">
        <f>"无"</f>
        <v>无</v>
      </c>
      <c r="AE103" t="str">
        <f>"父亲|巨万双|||母亲|李品艳|个体|||||"</f>
        <v>父亲|巨万双|||母亲|李品艳|个体|||||</v>
      </c>
      <c r="AF103" s="2">
        <v>44984.61583333334</v>
      </c>
      <c r="AG103">
        <v>1</v>
      </c>
      <c r="AH103">
        <v>1</v>
      </c>
      <c r="AI103">
        <v>0</v>
      </c>
      <c r="AJ103" t="s">
        <v>144</v>
      </c>
      <c r="AK103" s="4">
        <v>68.8</v>
      </c>
      <c r="AL103" s="4">
        <v>66.6</v>
      </c>
      <c r="AM103" s="4">
        <v>67.69999999999999</v>
      </c>
      <c r="AN103">
        <v>0</v>
      </c>
    </row>
    <row r="104" spans="1:40" ht="18" customHeight="1">
      <c r="A104" t="str">
        <f>"141720230227151902340522"</f>
        <v>141720230227151902340522</v>
      </c>
      <c r="B104" t="s">
        <v>44</v>
      </c>
      <c r="C104" t="str">
        <f>"杨丹丹"</f>
        <v>杨丹丹</v>
      </c>
      <c r="D104" t="str">
        <f t="shared" si="41"/>
        <v>女</v>
      </c>
      <c r="E104" t="str">
        <f>"1990-02"</f>
        <v>1990-02</v>
      </c>
      <c r="F104" t="str">
        <f>"安徽省蚌埠市禹会区"</f>
        <v>安徽省蚌埠市禹会区</v>
      </c>
      <c r="G104" t="str">
        <f aca="true" t="shared" si="43" ref="G104:G111">"汉族"</f>
        <v>汉族</v>
      </c>
      <c r="H104" t="str">
        <f>"群众"</f>
        <v>群众</v>
      </c>
      <c r="I104" t="str">
        <f>"340311199002041880"</f>
        <v>340311199002041880</v>
      </c>
      <c r="J104" t="str">
        <f>"已婚"</f>
        <v>已婚</v>
      </c>
      <c r="K104" t="str">
        <f>"专科"</f>
        <v>专科</v>
      </c>
      <c r="L104" t="str">
        <f>"无"</f>
        <v>无</v>
      </c>
      <c r="M104" t="str">
        <f t="shared" si="38"/>
        <v>学前教育</v>
      </c>
      <c r="N104" t="str">
        <f>"蚌埠学院"</f>
        <v>蚌埠学院</v>
      </c>
      <c r="O104" t="str">
        <f>"2012年7月"</f>
        <v>2012年7月</v>
      </c>
      <c r="P104" t="str">
        <f>"大专"</f>
        <v>大专</v>
      </c>
      <c r="Q104" t="str">
        <f>"无"</f>
        <v>无</v>
      </c>
      <c r="R104" t="str">
        <f t="shared" si="42"/>
        <v>学前教育</v>
      </c>
      <c r="S104" t="str">
        <f>"蚌埠学院"</f>
        <v>蚌埠学院</v>
      </c>
      <c r="T104" t="str">
        <f>"2012年7月"</f>
        <v>2012年7月</v>
      </c>
      <c r="U104" t="str">
        <f>"普通话证书，幼儿园教师资格证书，计算机证书，园长证书"</f>
        <v>普通话证书，幼儿园教师资格证书，计算机证书，园长证书</v>
      </c>
      <c r="V104" t="str">
        <f>"11年"</f>
        <v>11年</v>
      </c>
      <c r="W104" t="str">
        <f t="shared" si="39"/>
        <v>无</v>
      </c>
      <c r="X104" t="str">
        <f t="shared" si="40"/>
        <v>是</v>
      </c>
      <c r="Y104" t="str">
        <f>"安徽六安市金睿家早教托育中心，六安市酷乐虎托育服务有限公司"</f>
        <v>安徽六安市金睿家早教托育中心，六安市酷乐虎托育服务有限公司</v>
      </c>
      <c r="Z104" t="str">
        <f>"15256445461"</f>
        <v>15256445461</v>
      </c>
      <c r="AA104" t="str">
        <f>"安徽省六安市金安区清水河街道碧桂园"</f>
        <v>安徽省六安市金安区清水河街道碧桂园</v>
      </c>
      <c r="AB104" s="1" t="str">
        <f>"2006年9月-2009年6月蚌埠市第五中学学生 2009年9月-2012年7月蚌埠学院 学生 2012年7月-2016年6月蚌埠市晨光小学附属幼儿园 教师 2017年7月-2018年6月博爱幼儿园教师 2018年9月-2022年6月阳光欧洲城艾乐幼儿园 年级组组长，2022年9月-至今 金睿家早教托育六安中心教学主管 园长
 "</f>
        <v>2006年9月-2009年6月蚌埠市第五中学学生 2009年9月-2012年7月蚌埠学院 学生 2012年7月-2016年6月蚌埠市晨光小学附属幼儿园 教师 2017年7月-2018年6月博爱幼儿园教师 2018年9月-2022年6月阳光欧洲城艾乐幼儿园 年级组组长，2022年9月-至今 金睿家早教托育六安中心教学主管 园长
 </v>
      </c>
      <c r="AC104" t="str">
        <f>"2012年-2015年在蚌埠晨光小学附属幼儿园多次评为优秀教师，优秀指导老师，优秀辅导老师，爱心妈妈等。2019年被六安金安区教育辅导组评为“先进个人”。"</f>
        <v>2012年-2015年在蚌埠晨光小学附属幼儿园多次评为优秀教师，优秀指导老师，优秀辅导老师，爱心妈妈等。2019年被六安金安区教育辅导组评为“先进个人”。</v>
      </c>
      <c r="AD104" t="str">
        <f>"本人爱好美术，舞蹈。特长幼儿教育，家庭教育，亲子早教。"</f>
        <v>本人爱好美术，舞蹈。特长幼儿教育，家庭教育，亲子早教。</v>
      </c>
      <c r="AE104" t="str">
        <f>"丈夫|张立松|安徽环宇铝业有限公司|销售部经理|儿子|张思杨|六安真善美幼儿园|学生|儿子|张羽杨|六安金睿家早教托育中心|学生"</f>
        <v>丈夫|张立松|安徽环宇铝业有限公司|销售部经理|儿子|张思杨|六安真善美幼儿园|学生|儿子|张羽杨|六安金睿家早教托育中心|学生</v>
      </c>
      <c r="AF104" s="2">
        <v>44986.38505787037</v>
      </c>
      <c r="AG104">
        <v>1</v>
      </c>
      <c r="AH104">
        <v>1</v>
      </c>
      <c r="AI104">
        <v>0</v>
      </c>
      <c r="AJ104" t="s">
        <v>145</v>
      </c>
      <c r="AK104" s="4">
        <v>62.9</v>
      </c>
      <c r="AL104" s="4">
        <v>65.1</v>
      </c>
      <c r="AM104" s="4">
        <v>64</v>
      </c>
      <c r="AN104">
        <v>0</v>
      </c>
    </row>
    <row r="105" spans="1:40" ht="18" customHeight="1">
      <c r="A105" t="str">
        <f>"141720230227152844340524"</f>
        <v>141720230227152844340524</v>
      </c>
      <c r="B105" t="s">
        <v>44</v>
      </c>
      <c r="C105" t="str">
        <f>"李梦洁"</f>
        <v>李梦洁</v>
      </c>
      <c r="D105" t="str">
        <f t="shared" si="41"/>
        <v>女</v>
      </c>
      <c r="E105" t="str">
        <f>"2001-2"</f>
        <v>2001-2</v>
      </c>
      <c r="F105" t="str">
        <f>"安徽阜阳市颍泉区"</f>
        <v>安徽阜阳市颍泉区</v>
      </c>
      <c r="G105" t="str">
        <f t="shared" si="43"/>
        <v>汉族</v>
      </c>
      <c r="H105" t="str">
        <f>"共青团员"</f>
        <v>共青团员</v>
      </c>
      <c r="I105" t="str">
        <f>"34120420010225088X"</f>
        <v>34120420010225088X</v>
      </c>
      <c r="J105" t="str">
        <f aca="true" t="shared" si="44" ref="J105:J123">"未婚"</f>
        <v>未婚</v>
      </c>
      <c r="K105" t="str">
        <f>"本科"</f>
        <v>本科</v>
      </c>
      <c r="L105" t="str">
        <f>"本科"</f>
        <v>本科</v>
      </c>
      <c r="M105" t="str">
        <f t="shared" si="38"/>
        <v>学前教育</v>
      </c>
      <c r="N105" t="str">
        <f>"安徽师范大学"</f>
        <v>安徽师范大学</v>
      </c>
      <c r="O105" t="str">
        <f>"2023.6"</f>
        <v>2023.6</v>
      </c>
      <c r="P105" t="str">
        <f>"专科"</f>
        <v>专科</v>
      </c>
      <c r="Q105" t="str">
        <f>"专科"</f>
        <v>专科</v>
      </c>
      <c r="R105" t="str">
        <f t="shared" si="42"/>
        <v>学前教育</v>
      </c>
      <c r="S105" t="str">
        <f>"亳州学院"</f>
        <v>亳州学院</v>
      </c>
      <c r="T105" t="str">
        <f>"2021.6"</f>
        <v>2021.6</v>
      </c>
      <c r="U105" t="str">
        <f>"幼儿园教师资格证  育婴师中级  普通话二甲"</f>
        <v>幼儿园教师资格证  育婴师中级  普通话二甲</v>
      </c>
      <c r="V105" t="str">
        <f>"8个月"</f>
        <v>8个月</v>
      </c>
      <c r="W105" t="str">
        <f t="shared" si="39"/>
        <v>无</v>
      </c>
      <c r="X105" t="str">
        <f t="shared" si="40"/>
        <v>是</v>
      </c>
      <c r="Y105" t="str">
        <f>"星启优托管"</f>
        <v>星启优托管</v>
      </c>
      <c r="Z105" t="str">
        <f>"15055886835"</f>
        <v>15055886835</v>
      </c>
      <c r="AA105" t="str">
        <f>"安徽省阜阳市颍泉区周棚镇学府雅苑"</f>
        <v>安徽省阜阳市颍泉区周棚镇学府雅苑</v>
      </c>
      <c r="AB105" s="1" t="str">
        <f>"2016.9-2021.6 亳州学院 学生；2021.9-2023.6 安徽师范大学 学生
2020.6-2021.1 方圆艺术  员工；2023.2.15-至今 星启优托管；员工
"</f>
        <v>2016.9-2021.6 亳州学院 学生；2021.9-2023.6 安徽师范大学 学生
2020.6-2021.1 方圆艺术  员工；2023.2.15-至今 星启优托管；员工
</v>
      </c>
      <c r="AC105" t="str">
        <f>"专科阶段荣获五次三好学生；校级讲故事比赛三等奖；本科阶段荣获假期实践作文竞赛二等奖；2022年雷锋月活动中被评为“先进个人荣誉称号”"</f>
        <v>专科阶段荣获五次三好学生；校级讲故事比赛三等奖；本科阶段荣获假期实践作文竞赛二等奖；2022年雷锋月活动中被评为“先进个人荣誉称号”</v>
      </c>
      <c r="AD105" t="str">
        <f>"无"</f>
        <v>无</v>
      </c>
      <c r="AE105" t="str">
        <f>"父女|李志虎|浙江舟山|务工|母女|郑传芝|浙江舟山|务工|姐妹|李梦雪|浙江舟山|务工"</f>
        <v>父女|李志虎|浙江舟山|务工|母女|郑传芝|浙江舟山|务工|姐妹|李梦雪|浙江舟山|务工</v>
      </c>
      <c r="AF105" s="2">
        <v>44984.66913194444</v>
      </c>
      <c r="AG105">
        <v>1</v>
      </c>
      <c r="AH105">
        <v>1</v>
      </c>
      <c r="AI105">
        <v>0</v>
      </c>
      <c r="AJ105" t="s">
        <v>146</v>
      </c>
      <c r="AK105" s="4">
        <v>74.2</v>
      </c>
      <c r="AL105" s="4">
        <v>60.8</v>
      </c>
      <c r="AM105" s="4">
        <v>67.5</v>
      </c>
      <c r="AN105">
        <v>0</v>
      </c>
    </row>
    <row r="106" spans="1:40" ht="18" customHeight="1">
      <c r="A106" t="str">
        <f>"141720230227152948340525"</f>
        <v>141720230227152948340525</v>
      </c>
      <c r="B106" t="s">
        <v>44</v>
      </c>
      <c r="C106" t="str">
        <f>"李瑶"</f>
        <v>李瑶</v>
      </c>
      <c r="D106" t="str">
        <f t="shared" si="41"/>
        <v>女</v>
      </c>
      <c r="E106" t="str">
        <f>"1999-05"</f>
        <v>1999-05</v>
      </c>
      <c r="F106" t="str">
        <f>"安徽省宿州市"</f>
        <v>安徽省宿州市</v>
      </c>
      <c r="G106" t="str">
        <f t="shared" si="43"/>
        <v>汉族</v>
      </c>
      <c r="H106" t="str">
        <f>"共青团员"</f>
        <v>共青团员</v>
      </c>
      <c r="I106" t="str">
        <f>"342222199905150020"</f>
        <v>342222199905150020</v>
      </c>
      <c r="J106" t="str">
        <f t="shared" si="44"/>
        <v>未婚</v>
      </c>
      <c r="K106" t="str">
        <f>"本科"</f>
        <v>本科</v>
      </c>
      <c r="L106" t="str">
        <f>"学士"</f>
        <v>学士</v>
      </c>
      <c r="M106" t="str">
        <f t="shared" si="38"/>
        <v>学前教育</v>
      </c>
      <c r="N106" t="str">
        <f>"淮北师范大学"</f>
        <v>淮北师范大学</v>
      </c>
      <c r="O106" t="str">
        <f>"2022.06.30"</f>
        <v>2022.06.30</v>
      </c>
      <c r="P106" t="str">
        <f>"本科"</f>
        <v>本科</v>
      </c>
      <c r="Q106" t="str">
        <f>"学士"</f>
        <v>学士</v>
      </c>
      <c r="R106" t="str">
        <f t="shared" si="42"/>
        <v>学前教育</v>
      </c>
      <c r="S106" t="str">
        <f>"淮北师范大学"</f>
        <v>淮北师范大学</v>
      </c>
      <c r="T106" t="str">
        <f>"2022.06.30"</f>
        <v>2022.06.30</v>
      </c>
      <c r="U106" t="str">
        <f>"幼儿园教师资格证"</f>
        <v>幼儿园教师资格证</v>
      </c>
      <c r="V106" t="str">
        <f>"半年"</f>
        <v>半年</v>
      </c>
      <c r="W106" t="str">
        <f t="shared" si="39"/>
        <v>无</v>
      </c>
      <c r="X106" t="str">
        <f t="shared" si="40"/>
        <v>是</v>
      </c>
      <c r="Y106" t="str">
        <f>"无"</f>
        <v>无</v>
      </c>
      <c r="Z106" t="str">
        <f>"18098595122"</f>
        <v>18098595122</v>
      </c>
      <c r="AA106" t="str">
        <f>"安徽省宿州市萧县虎山一号"</f>
        <v>安徽省宿州市萧县虎山一号</v>
      </c>
      <c r="AB106" s="1" t="str">
        <f>"2014.9-2017.6萧县鹏程中学       学生
2017.9-2020.6 淮北职业技术学院  学生
2020.9-2022.6 淮北师范大学      学生"</f>
        <v>2014.9-2017.6萧县鹏程中学       学生
2017.9-2020.6 淮北职业技术学院  学生
2020.9-2022.6 淮北师范大学      学生</v>
      </c>
      <c r="AC106" t="str">
        <f>"无"</f>
        <v>无</v>
      </c>
      <c r="AD106" t="str">
        <f>"绘画，钢琴"</f>
        <v>绘画，钢琴</v>
      </c>
      <c r="AE106" t="str">
        <f>"父女|李维|萧县统计局|站长|母女|赵东玲|萧县孙圩子中心小学|副校长|姐弟|李维贤|萧县实验小学|学生"</f>
        <v>父女|李维|萧县统计局|站长|母女|赵东玲|萧县孙圩子中心小学|副校长|姐弟|李维贤|萧县实验小学|学生</v>
      </c>
      <c r="AF106" s="2">
        <v>44984.66824074074</v>
      </c>
      <c r="AG106">
        <v>1</v>
      </c>
      <c r="AH106">
        <v>1</v>
      </c>
      <c r="AI106">
        <v>0</v>
      </c>
      <c r="AJ106" t="s">
        <v>147</v>
      </c>
      <c r="AK106" s="4">
        <v>70.3</v>
      </c>
      <c r="AL106" s="4">
        <v>62.4</v>
      </c>
      <c r="AM106" s="4">
        <v>66.35</v>
      </c>
      <c r="AN106">
        <v>0</v>
      </c>
    </row>
    <row r="107" spans="1:40" ht="18" customHeight="1">
      <c r="A107" t="str">
        <f>"141720230227154331340528"</f>
        <v>141720230227154331340528</v>
      </c>
      <c r="B107" t="s">
        <v>44</v>
      </c>
      <c r="C107" t="str">
        <f>"姚雨阳"</f>
        <v>姚雨阳</v>
      </c>
      <c r="D107" t="str">
        <f t="shared" si="41"/>
        <v>女</v>
      </c>
      <c r="E107" t="str">
        <f>"2002 -12 18"</f>
        <v>2002 -12 18</v>
      </c>
      <c r="F107" t="str">
        <f>"安徽省亳州市"</f>
        <v>安徽省亳州市</v>
      </c>
      <c r="G107" t="str">
        <f t="shared" si="43"/>
        <v>汉族</v>
      </c>
      <c r="H107" t="str">
        <f>"群众"</f>
        <v>群众</v>
      </c>
      <c r="I107" t="str">
        <f>"341621200212180227"</f>
        <v>341621200212180227</v>
      </c>
      <c r="J107" t="str">
        <f t="shared" si="44"/>
        <v>未婚</v>
      </c>
      <c r="K107" t="str">
        <f>"本科"</f>
        <v>本科</v>
      </c>
      <c r="L107" t="str">
        <f>"本科"</f>
        <v>本科</v>
      </c>
      <c r="M107" t="str">
        <f>"学前教育专业"</f>
        <v>学前教育专业</v>
      </c>
      <c r="N107" t="str">
        <f>"滁州学院"</f>
        <v>滁州学院</v>
      </c>
      <c r="O107" t="str">
        <f>"2023-6-1"</f>
        <v>2023-6-1</v>
      </c>
      <c r="P107" t="str">
        <f>"本科"</f>
        <v>本科</v>
      </c>
      <c r="Q107" t="str">
        <f>"本科"</f>
        <v>本科</v>
      </c>
      <c r="R107" t="str">
        <f t="shared" si="42"/>
        <v>学前教育</v>
      </c>
      <c r="S107" t="str">
        <f>"滁州学院"</f>
        <v>滁州学院</v>
      </c>
      <c r="T107" t="str">
        <f>"2023-6-1"</f>
        <v>2023-6-1</v>
      </c>
      <c r="U107" t="str">
        <f>"幼儿教师资格证"</f>
        <v>幼儿教师资格证</v>
      </c>
      <c r="V107" t="str">
        <f>"无"</f>
        <v>无</v>
      </c>
      <c r="W107" t="str">
        <f t="shared" si="39"/>
        <v>无</v>
      </c>
      <c r="X107" t="str">
        <f t="shared" si="40"/>
        <v>是</v>
      </c>
      <c r="Y107" t="str">
        <f>"无"</f>
        <v>无</v>
      </c>
      <c r="Z107" t="str">
        <f>"19856903956"</f>
        <v>19856903956</v>
      </c>
      <c r="AA107" t="str">
        <f>"安徽省亳州市涡阳县"</f>
        <v>安徽省亳州市涡阳县</v>
      </c>
      <c r="AB107" s="1" t="str">
        <f>"2016 9-2019 7 淮北工业与艺术学校
2019 9-2021 7 合肥幼儿师范高等专科学校
2021 9-2023 7 滁州学院"</f>
        <v>2016 9-2019 7 淮北工业与艺术学校
2019 9-2021 7 合肥幼儿师范高等专科学校
2021 9-2023 7 滁州学院</v>
      </c>
      <c r="AC107" t="str">
        <f>"无"</f>
        <v>无</v>
      </c>
      <c r="AD107" t="str">
        <f>"舞蹈 运动"</f>
        <v>舞蹈 运动</v>
      </c>
      <c r="AE107" t="str">
        <f>"父女|姚伟|餐饮|餐饮|母女|张美玲|餐饮|餐饮|兄弟|姚思宇|无|无"</f>
        <v>父女|姚伟|餐饮|餐饮|母女|张美玲|餐饮|餐饮|兄弟|姚思宇|无|无</v>
      </c>
      <c r="AF107" s="2">
        <v>44985.57209490741</v>
      </c>
      <c r="AG107">
        <v>1</v>
      </c>
      <c r="AH107">
        <v>1</v>
      </c>
      <c r="AI107">
        <v>0</v>
      </c>
      <c r="AJ107" t="s">
        <v>148</v>
      </c>
      <c r="AK107" s="4" t="s">
        <v>264</v>
      </c>
      <c r="AL107" s="4" t="s">
        <v>264</v>
      </c>
      <c r="AM107" s="4" t="s">
        <v>264</v>
      </c>
      <c r="AN107">
        <v>0</v>
      </c>
    </row>
    <row r="108" spans="1:40" ht="18" customHeight="1">
      <c r="A108" t="str">
        <f>"141720230227172935340546"</f>
        <v>141720230227172935340546</v>
      </c>
      <c r="B108" t="s">
        <v>44</v>
      </c>
      <c r="C108" t="str">
        <f>"王金月"</f>
        <v>王金月</v>
      </c>
      <c r="D108" t="str">
        <f t="shared" si="41"/>
        <v>女</v>
      </c>
      <c r="E108" t="str">
        <f>"1999-7"</f>
        <v>1999-7</v>
      </c>
      <c r="F108" t="str">
        <f>"安徽合肥市肥东县八斗镇富旺乡"</f>
        <v>安徽合肥市肥东县八斗镇富旺乡</v>
      </c>
      <c r="G108" t="str">
        <f t="shared" si="43"/>
        <v>汉族</v>
      </c>
      <c r="H108" t="str">
        <f>"共青团员"</f>
        <v>共青团员</v>
      </c>
      <c r="I108" t="str">
        <f>"340123199907126066"</f>
        <v>340123199907126066</v>
      </c>
      <c r="J108" t="str">
        <f t="shared" si="44"/>
        <v>未婚</v>
      </c>
      <c r="K108" t="str">
        <f>"大专"</f>
        <v>大专</v>
      </c>
      <c r="L108" t="str">
        <f>"无"</f>
        <v>无</v>
      </c>
      <c r="M108" t="str">
        <f aca="true" t="shared" si="45" ref="M108:M120">"学前教育"</f>
        <v>学前教育</v>
      </c>
      <c r="N108" t="str">
        <f>"滁州城市职业学院"</f>
        <v>滁州城市职业学院</v>
      </c>
      <c r="O108" t="str">
        <f>"2022-7"</f>
        <v>2022-7</v>
      </c>
      <c r="P108" t="str">
        <f>"大专"</f>
        <v>大专</v>
      </c>
      <c r="Q108" t="str">
        <f>"无"</f>
        <v>无</v>
      </c>
      <c r="R108" t="str">
        <f t="shared" si="42"/>
        <v>学前教育</v>
      </c>
      <c r="S108" t="str">
        <f>"滁州城市职业学院"</f>
        <v>滁州城市职业学院</v>
      </c>
      <c r="T108" t="str">
        <f>"2022-7"</f>
        <v>2022-7</v>
      </c>
      <c r="U108" t="str">
        <f>"有"</f>
        <v>有</v>
      </c>
      <c r="V108" t="str">
        <f>"2021年在滁州实验幼儿园实习一个月，2022年在振兴路幼儿园实习半年，2022年7月在金色摇篮工作"</f>
        <v>2021年在滁州实验幼儿园实习一个月，2022年在振兴路幼儿园实习半年，2022年7月在金色摇篮工作</v>
      </c>
      <c r="W108" t="str">
        <f t="shared" si="39"/>
        <v>无</v>
      </c>
      <c r="X108" t="str">
        <f t="shared" si="40"/>
        <v>是</v>
      </c>
      <c r="Y108" t="str">
        <f>"金色摇篮"</f>
        <v>金色摇篮</v>
      </c>
      <c r="Z108" t="str">
        <f>"13085002256"</f>
        <v>13085002256</v>
      </c>
      <c r="AA108" t="str">
        <f>"安徽省合肥市瑶海区丽水天锦苑"</f>
        <v>安徽省合肥市瑶海区丽水天锦苑</v>
      </c>
      <c r="AB108" s="1" t="str">
        <f>"2015.9-2018.6    凯悦中学
2018.9-2019.6   毛坦厂中学
2019.6-2022.7   滁州城市职业学院
2022.2-2022.7    振兴路幼儿园
2022.7-至今      金色摇篮"</f>
        <v>2015.9-2018.6    凯悦中学
2018.9-2019.6   毛坦厂中学
2019.6-2022.7   滁州城市职业学院
2022.2-2022.7    振兴路幼儿园
2022.7-至今      金色摇篮</v>
      </c>
      <c r="AC108" t="str">
        <f>"无"</f>
        <v>无</v>
      </c>
      <c r="AD108" t="str">
        <f>"画画，素描获得全国艺术水平等级考试10级，漫画10级。手工。"</f>
        <v>画画，素描获得全国艺术水平等级考试10级，漫画10级。手工。</v>
      </c>
      <c r="AE108" t="str">
        <f>"父女|王群|无|务工|母女|程道勤|无|务工|姐弟|王浩然|众兴中学|学生"</f>
        <v>父女|王群|无|务工|母女|程道勤|无|务工|姐弟|王浩然|众兴中学|学生</v>
      </c>
      <c r="AF108" s="2">
        <v>44987.550462962965</v>
      </c>
      <c r="AG108">
        <v>1</v>
      </c>
      <c r="AH108">
        <v>1</v>
      </c>
      <c r="AI108">
        <v>0</v>
      </c>
      <c r="AJ108" t="s">
        <v>149</v>
      </c>
      <c r="AK108" s="4">
        <v>59</v>
      </c>
      <c r="AL108" s="4">
        <v>64.9</v>
      </c>
      <c r="AM108" s="4">
        <v>61.95</v>
      </c>
      <c r="AN108">
        <v>0</v>
      </c>
    </row>
    <row r="109" spans="1:40" ht="18" customHeight="1">
      <c r="A109" t="str">
        <f>"141720230227180606340553"</f>
        <v>141720230227180606340553</v>
      </c>
      <c r="B109" t="s">
        <v>44</v>
      </c>
      <c r="C109" t="str">
        <f>"张娟"</f>
        <v>张娟</v>
      </c>
      <c r="D109" t="str">
        <f t="shared" si="41"/>
        <v>女</v>
      </c>
      <c r="E109" t="str">
        <f>"2000-10-17"</f>
        <v>2000-10-17</v>
      </c>
      <c r="F109" t="str">
        <f>"皖滁州"</f>
        <v>皖滁州</v>
      </c>
      <c r="G109" t="str">
        <f t="shared" si="43"/>
        <v>汉族</v>
      </c>
      <c r="H109" t="str">
        <f>"中共党员"</f>
        <v>中共党员</v>
      </c>
      <c r="I109" t="str">
        <f>"341126200010176726"</f>
        <v>341126200010176726</v>
      </c>
      <c r="J109" t="str">
        <f t="shared" si="44"/>
        <v>未婚</v>
      </c>
      <c r="K109" t="str">
        <f>"本科"</f>
        <v>本科</v>
      </c>
      <c r="L109" t="str">
        <f>"本科"</f>
        <v>本科</v>
      </c>
      <c r="M109" t="str">
        <f t="shared" si="45"/>
        <v>学前教育</v>
      </c>
      <c r="N109" t="str">
        <f>"安徽新华学院"</f>
        <v>安徽新华学院</v>
      </c>
      <c r="O109" t="str">
        <f>"2023"</f>
        <v>2023</v>
      </c>
      <c r="P109" t="str">
        <f>"本科"</f>
        <v>本科</v>
      </c>
      <c r="Q109" t="str">
        <f>"本科"</f>
        <v>本科</v>
      </c>
      <c r="R109" t="str">
        <f t="shared" si="42"/>
        <v>学前教育</v>
      </c>
      <c r="S109" t="str">
        <f>"安徽新华学院"</f>
        <v>安徽新华学院</v>
      </c>
      <c r="T109" t="str">
        <f>"2023"</f>
        <v>2023</v>
      </c>
      <c r="U109" t="str">
        <f>"幼儿教资"</f>
        <v>幼儿教资</v>
      </c>
      <c r="V109" t="str">
        <f>"2月"</f>
        <v>2月</v>
      </c>
      <c r="W109" t="str">
        <f t="shared" si="39"/>
        <v>无</v>
      </c>
      <c r="X109" t="str">
        <f t="shared" si="40"/>
        <v>是</v>
      </c>
      <c r="Y109" t="str">
        <f>"安徽新华学院"</f>
        <v>安徽新华学院</v>
      </c>
      <c r="Z109" t="str">
        <f>"15855036995"</f>
        <v>15855036995</v>
      </c>
      <c r="AA109" t="str">
        <f>"安徽新华学院"</f>
        <v>安徽新华学院</v>
      </c>
      <c r="AB109" s="1" t="str">
        <f>"2015.9-2018.6临淮中学学生
2018.9-2019.6明光中学学生
2019.9-2023.6安徽新华学院学生
2022年5-2022.7肥西上派小天使幼儿园实习
"</f>
        <v>2015.9-2018.6临淮中学学生
2018.9-2019.6明光中学学生
2019.9-2023.6安徽新华学院学生
2022年5-2022.7肥西上派小天使幼儿园实习
</v>
      </c>
      <c r="AC109" s="1" t="str">
        <f>"1.2020年7月疫情知识竞赛“三等奖” 
2.2020年10月社会实践标兵    
3.2020年12月儿童故事表演大赛“一等奖”
4.2020年12月幼儿园环创设计“一等奖”        
5.2021年6月“最美心理委员”证书  
6.2021年6月“优秀共青团干部”
7.2021年7月荣获全国民办高校党史知识竞赛“二等奖”
8.2021年9月社会实践标兵
9.2022年3月“三好学生”"</f>
        <v>1.2020年7月疫情知识竞赛“三等奖” 
2.2020年10月社会实践标兵    
3.2020年12月儿童故事表演大赛“一等奖”
4.2020年12月幼儿园环创设计“一等奖”        
5.2021年6月“最美心理委员”证书  
6.2021年6月“优秀共青团干部”
7.2021年7月荣获全国民办高校党史知识竞赛“二等奖”
8.2021年9月社会实践标兵
9.2022年3月“三好学生”</v>
      </c>
      <c r="AD109" t="str">
        <f>"听音乐，运动"</f>
        <v>听音乐，运动</v>
      </c>
      <c r="AE109" t="str">
        <f>"父女|张绍根|无|务农|母女|贾小苗|无|务农|姊妹|张小柳|凤阳中学|学生"</f>
        <v>父女|张绍根|无|务农|母女|贾小苗|无|务农|姊妹|张小柳|凤阳中学|学生</v>
      </c>
      <c r="AF109" s="2">
        <v>44985.49518518519</v>
      </c>
      <c r="AG109">
        <v>1</v>
      </c>
      <c r="AH109">
        <v>1</v>
      </c>
      <c r="AI109">
        <v>0</v>
      </c>
      <c r="AJ109" t="s">
        <v>150</v>
      </c>
      <c r="AK109" s="4">
        <v>81</v>
      </c>
      <c r="AL109" s="4">
        <v>72.3</v>
      </c>
      <c r="AM109" s="4">
        <v>76.65</v>
      </c>
      <c r="AN109">
        <v>0</v>
      </c>
    </row>
    <row r="110" spans="1:40" ht="18" customHeight="1">
      <c r="A110" t="str">
        <f>"141720230227181319340555"</f>
        <v>141720230227181319340555</v>
      </c>
      <c r="B110" t="s">
        <v>44</v>
      </c>
      <c r="C110" t="str">
        <f>"吕俏俏"</f>
        <v>吕俏俏</v>
      </c>
      <c r="D110" t="str">
        <f t="shared" si="41"/>
        <v>女</v>
      </c>
      <c r="E110" t="str">
        <f>"2001-12"</f>
        <v>2001-12</v>
      </c>
      <c r="F110" t="str">
        <f>"江苏邳州"</f>
        <v>江苏邳州</v>
      </c>
      <c r="G110" t="str">
        <f t="shared" si="43"/>
        <v>汉族</v>
      </c>
      <c r="H110" t="str">
        <f>"中共党员"</f>
        <v>中共党员</v>
      </c>
      <c r="I110" t="str">
        <f>"320382200112296822"</f>
        <v>320382200112296822</v>
      </c>
      <c r="J110" t="str">
        <f t="shared" si="44"/>
        <v>未婚</v>
      </c>
      <c r="K110" t="str">
        <f>"大专"</f>
        <v>大专</v>
      </c>
      <c r="L110" t="str">
        <f>"专科"</f>
        <v>专科</v>
      </c>
      <c r="M110" t="str">
        <f t="shared" si="45"/>
        <v>学前教育</v>
      </c>
      <c r="N110" t="str">
        <f>"连云港师范高等专科学校"</f>
        <v>连云港师范高等专科学校</v>
      </c>
      <c r="O110" t="str">
        <f>"2022.06"</f>
        <v>2022.06</v>
      </c>
      <c r="P110" t="str">
        <f>"大专"</f>
        <v>大专</v>
      </c>
      <c r="Q110" t="str">
        <f>"大专"</f>
        <v>大专</v>
      </c>
      <c r="R110" t="str">
        <f t="shared" si="42"/>
        <v>学前教育</v>
      </c>
      <c r="S110" t="str">
        <f>"连云港师范高等专科学校"</f>
        <v>连云港师范高等专科学校</v>
      </c>
      <c r="T110" t="str">
        <f>"2022.06"</f>
        <v>2022.06</v>
      </c>
      <c r="U110" t="str">
        <f>"幼儿园教师资格证书"</f>
        <v>幼儿园教师资格证书</v>
      </c>
      <c r="V110" t="str">
        <f>"1"</f>
        <v>1</v>
      </c>
      <c r="W110" t="str">
        <f t="shared" si="39"/>
        <v>无</v>
      </c>
      <c r="X110" t="str">
        <f t="shared" si="40"/>
        <v>是</v>
      </c>
      <c r="Y110" t="str">
        <f>"邳州市青年路幼儿园"</f>
        <v>邳州市青年路幼儿园</v>
      </c>
      <c r="Z110" t="str">
        <f>"18036371970"</f>
        <v>18036371970</v>
      </c>
      <c r="AA110" t="str">
        <f>"邳州市碾庄镇李集村1283号"</f>
        <v>邳州市碾庄镇李集村1283号</v>
      </c>
      <c r="AB110" s="1" t="str">
        <f>"2016.09-2.29.06邳州市八义集高中 学生
2019-09-2022.06连云港师范高等专科学校  学生
2022.06-至今在青年路幼儿园任职 "</f>
        <v>2016.09-2.29.06邳州市八义集高中 学生
2019-09-2022.06连云港师范高等专科学校  学生
2022.06-至今在青年路幼儿园任职 </v>
      </c>
      <c r="AC110" t="str">
        <f>"无"</f>
        <v>无</v>
      </c>
      <c r="AD110" t="str">
        <f>"绘画、儿童画、摄影"</f>
        <v>绘画、儿童画、摄影</v>
      </c>
      <c r="AE110" t="str">
        <f>"爸爸|吕彬|无|务农|弟弟|吕佳佳|无|待职||||"</f>
        <v>爸爸|吕彬|无|务农|弟弟|吕佳佳|无|待职||||</v>
      </c>
      <c r="AF110" s="2">
        <v>44986.37666666666</v>
      </c>
      <c r="AG110">
        <v>1</v>
      </c>
      <c r="AH110">
        <v>1</v>
      </c>
      <c r="AI110">
        <v>0</v>
      </c>
      <c r="AJ110" t="s">
        <v>151</v>
      </c>
      <c r="AK110" s="4" t="s">
        <v>264</v>
      </c>
      <c r="AL110" s="4" t="s">
        <v>264</v>
      </c>
      <c r="AM110" s="4" t="s">
        <v>264</v>
      </c>
      <c r="AN110">
        <v>0</v>
      </c>
    </row>
    <row r="111" spans="1:40" ht="18" customHeight="1">
      <c r="A111" t="str">
        <f>"141720230227182147340557"</f>
        <v>141720230227182147340557</v>
      </c>
      <c r="B111" t="s">
        <v>44</v>
      </c>
      <c r="C111" t="str">
        <f>"闫鑫"</f>
        <v>闫鑫</v>
      </c>
      <c r="D111" t="str">
        <f t="shared" si="41"/>
        <v>女</v>
      </c>
      <c r="E111" t="str">
        <f>"2000-05"</f>
        <v>2000-05</v>
      </c>
      <c r="F111" t="str">
        <f>"安徽省阜阳市颍州区"</f>
        <v>安徽省阜阳市颍州区</v>
      </c>
      <c r="G111" t="str">
        <f t="shared" si="43"/>
        <v>汉族</v>
      </c>
      <c r="H111" t="str">
        <f>"共青团员"</f>
        <v>共青团员</v>
      </c>
      <c r="I111" t="str">
        <f>"341202200005210242"</f>
        <v>341202200005210242</v>
      </c>
      <c r="J111" t="str">
        <f t="shared" si="44"/>
        <v>未婚</v>
      </c>
      <c r="K111" t="str">
        <f>"本科"</f>
        <v>本科</v>
      </c>
      <c r="L111" t="str">
        <f>"学士学位"</f>
        <v>学士学位</v>
      </c>
      <c r="M111" t="str">
        <f t="shared" si="45"/>
        <v>学前教育</v>
      </c>
      <c r="N111" t="str">
        <f>"安徽师范大学"</f>
        <v>安徽师范大学</v>
      </c>
      <c r="O111" t="str">
        <f>"23年6月"</f>
        <v>23年6月</v>
      </c>
      <c r="P111" t="str">
        <f>"本科"</f>
        <v>本科</v>
      </c>
      <c r="Q111" t="str">
        <f>"学士"</f>
        <v>学士</v>
      </c>
      <c r="R111" t="str">
        <f t="shared" si="42"/>
        <v>学前教育</v>
      </c>
      <c r="S111" t="str">
        <f>"安徽师范大学"</f>
        <v>安徽师范大学</v>
      </c>
      <c r="T111" t="str">
        <f>"23.06"</f>
        <v>23.06</v>
      </c>
      <c r="U111" t="str">
        <f>"幼儿园教师资格证"</f>
        <v>幼儿园教师资格证</v>
      </c>
      <c r="V111" t="str">
        <f>"实习"</f>
        <v>实习</v>
      </c>
      <c r="W111" t="str">
        <f t="shared" si="39"/>
        <v>无</v>
      </c>
      <c r="X111" t="str">
        <f t="shared" si="40"/>
        <v>是</v>
      </c>
      <c r="Y111" t="str">
        <f>"无"</f>
        <v>无</v>
      </c>
      <c r="Z111" t="str">
        <f>"16655885021"</f>
        <v>16655885021</v>
      </c>
      <c r="AA111" t="str">
        <f>"安徽省阜阳市颍州区"</f>
        <v>安徽省阜阳市颍州区</v>
      </c>
      <c r="AB111" s="1" t="str">
        <f>"2015.9-2018.6阜阳一中 学生
2018.9-2021.6合肥幼儿师范高等专科学校学生
2021.9-2023.6安徽师范大学学生
"</f>
        <v>2015.9-2018.6阜阳一中 学生
2018.9-2021.6合肥幼儿师范高等专科学校学生
2021.9-2023.6安徽师范大学学生
</v>
      </c>
      <c r="AC111" s="1" t="str">
        <f>"2021年安徽省优秀毕业生
安师大二等奖奖学金，三好学生称号
安徽省双百大赛三等奖"</f>
        <v>2021年安徽省优秀毕业生
安师大二等奖奖学金，三好学生称号
安徽省双百大赛三等奖</v>
      </c>
      <c r="AD111" t="str">
        <f>"中国舞，古筝"</f>
        <v>中国舞，古筝</v>
      </c>
      <c r="AE111" t="str">
        <f>"母女|张玲|无|无||||||||"</f>
        <v>母女|张玲|无|无||||||||</v>
      </c>
      <c r="AF111" s="2">
        <v>44985.494421296295</v>
      </c>
      <c r="AG111">
        <v>1</v>
      </c>
      <c r="AH111">
        <v>1</v>
      </c>
      <c r="AI111">
        <v>0</v>
      </c>
      <c r="AJ111" t="s">
        <v>152</v>
      </c>
      <c r="AK111" s="4" t="s">
        <v>264</v>
      </c>
      <c r="AL111" s="4" t="s">
        <v>264</v>
      </c>
      <c r="AM111" s="4" t="s">
        <v>264</v>
      </c>
      <c r="AN111">
        <v>0</v>
      </c>
    </row>
    <row r="112" spans="1:40" ht="18" customHeight="1">
      <c r="A112" t="str">
        <f>"141720230227183559340563"</f>
        <v>141720230227183559340563</v>
      </c>
      <c r="B112" t="s">
        <v>44</v>
      </c>
      <c r="C112" t="str">
        <f>"白露露"</f>
        <v>白露露</v>
      </c>
      <c r="D112" t="str">
        <f t="shared" si="41"/>
        <v>女</v>
      </c>
      <c r="E112" t="str">
        <f>"2002-07"</f>
        <v>2002-07</v>
      </c>
      <c r="F112" t="str">
        <f>"安徽全椒县"</f>
        <v>安徽全椒县</v>
      </c>
      <c r="G112" t="str">
        <f>"少数民族"</f>
        <v>少数民族</v>
      </c>
      <c r="H112" t="str">
        <f>"共青团员"</f>
        <v>共青团员</v>
      </c>
      <c r="I112" t="str">
        <f>"341124200207147627"</f>
        <v>341124200207147627</v>
      </c>
      <c r="J112" t="str">
        <f t="shared" si="44"/>
        <v>未婚</v>
      </c>
      <c r="K112" t="str">
        <f>"大专"</f>
        <v>大专</v>
      </c>
      <c r="L112" t="str">
        <f>"无"</f>
        <v>无</v>
      </c>
      <c r="M112" t="str">
        <f t="shared" si="45"/>
        <v>学前教育</v>
      </c>
      <c r="N112" t="str">
        <f>"滁州城市职业学院"</f>
        <v>滁州城市职业学院</v>
      </c>
      <c r="O112" t="str">
        <f>"2022.07"</f>
        <v>2022.07</v>
      </c>
      <c r="P112" t="str">
        <f>"大专"</f>
        <v>大专</v>
      </c>
      <c r="Q112" t="str">
        <f>"无"</f>
        <v>无</v>
      </c>
      <c r="R112" t="str">
        <f t="shared" si="42"/>
        <v>学前教育</v>
      </c>
      <c r="S112" t="str">
        <f>"滁州城市职业学院"</f>
        <v>滁州城市职业学院</v>
      </c>
      <c r="T112" t="str">
        <f>"2022.07"</f>
        <v>2022.07</v>
      </c>
      <c r="U112" t="str">
        <f>"幼儿教师资格证书"</f>
        <v>幼儿教师资格证书</v>
      </c>
      <c r="V112" t="str">
        <f>"2022.02-2023.03"</f>
        <v>2022.02-2023.03</v>
      </c>
      <c r="W112" t="str">
        <f t="shared" si="39"/>
        <v>无</v>
      </c>
      <c r="X112" t="str">
        <f t="shared" si="40"/>
        <v>是</v>
      </c>
      <c r="Y112" t="str">
        <f>"全椒县启明星幼儿园"</f>
        <v>全椒县启明星幼儿园</v>
      </c>
      <c r="Z112" t="str">
        <f>"17855004512"</f>
        <v>17855004512</v>
      </c>
      <c r="AA112" t="str">
        <f>"安徽省滁州市全椒县城南小区"</f>
        <v>安徽省滁州市全椒县城南小区</v>
      </c>
      <c r="AB112" s="1" t="str">
        <f>"2017.09-2022.07 滁州城市职业学院 学生
2022.02-至今 全椒县启明星幼儿园 员工"</f>
        <v>2017.09-2022.07 滁州城市职业学院 学生
2022.02-至今 全椒县启明星幼儿园 员工</v>
      </c>
      <c r="AC112" t="str">
        <f>"在校期间曾多次获得三好学生，优秀学生干部，奖学金等荣誉证书。"</f>
        <v>在校期间曾多次获得三好学生，优秀学生干部，奖学金等荣誉证书。</v>
      </c>
      <c r="AD112" t="str">
        <f>"喜欢运动。"</f>
        <v>喜欢运动。</v>
      </c>
      <c r="AE112" t="str">
        <f>"母女|范仕茹|无|无|姐妹|白珊|合肥市师范附小第四小学|教师||||"</f>
        <v>母女|范仕茹|无|无|姐妹|白珊|合肥市师范附小第四小学|教师||||</v>
      </c>
      <c r="AF112" s="2">
        <v>44986.37726851852</v>
      </c>
      <c r="AG112">
        <v>1</v>
      </c>
      <c r="AH112">
        <v>1</v>
      </c>
      <c r="AI112">
        <v>0</v>
      </c>
      <c r="AJ112" t="s">
        <v>153</v>
      </c>
      <c r="AK112" s="4" t="s">
        <v>264</v>
      </c>
      <c r="AL112" s="4" t="s">
        <v>264</v>
      </c>
      <c r="AM112" s="4" t="s">
        <v>264</v>
      </c>
      <c r="AN112">
        <v>0</v>
      </c>
    </row>
    <row r="113" spans="1:40" ht="18" customHeight="1">
      <c r="A113" t="str">
        <f>"141720230227184828340565"</f>
        <v>141720230227184828340565</v>
      </c>
      <c r="B113" t="s">
        <v>44</v>
      </c>
      <c r="C113" t="str">
        <f>"方鸿庭"</f>
        <v>方鸿庭</v>
      </c>
      <c r="D113" t="str">
        <f t="shared" si="41"/>
        <v>女</v>
      </c>
      <c r="E113" t="str">
        <f>"1998-8-15"</f>
        <v>1998-8-15</v>
      </c>
      <c r="F113" t="str">
        <f>"安徽六安"</f>
        <v>安徽六安</v>
      </c>
      <c r="G113" t="str">
        <f aca="true" t="shared" si="46" ref="G113:G119">"汉族"</f>
        <v>汉族</v>
      </c>
      <c r="H113" t="str">
        <f>"共青团员"</f>
        <v>共青团员</v>
      </c>
      <c r="I113" t="str">
        <f>"342401199808158468"</f>
        <v>342401199808158468</v>
      </c>
      <c r="J113" t="str">
        <f t="shared" si="44"/>
        <v>未婚</v>
      </c>
      <c r="K113" t="str">
        <f>"本科"</f>
        <v>本科</v>
      </c>
      <c r="L113" t="str">
        <f>"本科"</f>
        <v>本科</v>
      </c>
      <c r="M113" t="str">
        <f t="shared" si="45"/>
        <v>学前教育</v>
      </c>
      <c r="N113" t="str">
        <f>"亳州学院"</f>
        <v>亳州学院</v>
      </c>
      <c r="O113" t="str">
        <f>"2022-6"</f>
        <v>2022-6</v>
      </c>
      <c r="P113" t="str">
        <f>"本科"</f>
        <v>本科</v>
      </c>
      <c r="Q113" t="str">
        <f>"本科"</f>
        <v>本科</v>
      </c>
      <c r="R113" t="str">
        <f t="shared" si="42"/>
        <v>学前教育</v>
      </c>
      <c r="S113" t="str">
        <f>"亳州学院"</f>
        <v>亳州学院</v>
      </c>
      <c r="T113" t="str">
        <f>"2022-6"</f>
        <v>2022-6</v>
      </c>
      <c r="U113" t="str">
        <f>"幼儿教师资格证"</f>
        <v>幼儿教师资格证</v>
      </c>
      <c r="V113" t="str">
        <f>"1年"</f>
        <v>1年</v>
      </c>
      <c r="W113" t="str">
        <f t="shared" si="39"/>
        <v>无</v>
      </c>
      <c r="X113" t="str">
        <f t="shared" si="40"/>
        <v>是</v>
      </c>
      <c r="Y113" t="str">
        <f>"爱生堡幼儿园"</f>
        <v>爱生堡幼儿园</v>
      </c>
      <c r="Z113" t="str">
        <f>"13696783389"</f>
        <v>13696783389</v>
      </c>
      <c r="AA113" t="str">
        <f>"合肥市瑶海区"</f>
        <v>合肥市瑶海区</v>
      </c>
      <c r="AB113" s="1" t="str">
        <f>"2014.9-2017.6毛坦厂中学 学生
2017.9-2020.6阜阳幼儿师范高等专科学校 学生
2020.9-2022.6亳州学院 学生
2022.6-至今 爱生堡员工
"</f>
        <v>2014.9-2017.6毛坦厂中学 学生
2017.9-2020.6阜阳幼儿师范高等专科学校 学生
2020.9-2022.6亳州学院 学生
2022.6-至今 爱生堡员工
</v>
      </c>
      <c r="AC113" t="str">
        <f>"无"</f>
        <v>无</v>
      </c>
      <c r="AD113" t="str">
        <f>"无"</f>
        <v>无</v>
      </c>
      <c r="AE113" t="str">
        <f>"妹妹|方琦琦|滁州学院|学生||||||||"</f>
        <v>妹妹|方琦琦|滁州学院|学生||||||||</v>
      </c>
      <c r="AF113" s="2">
        <v>44987.564259259256</v>
      </c>
      <c r="AG113">
        <v>1</v>
      </c>
      <c r="AH113">
        <v>1</v>
      </c>
      <c r="AI113">
        <v>0</v>
      </c>
      <c r="AJ113" t="s">
        <v>154</v>
      </c>
      <c r="AK113" s="4" t="s">
        <v>264</v>
      </c>
      <c r="AL113" s="4" t="s">
        <v>264</v>
      </c>
      <c r="AM113" s="4" t="s">
        <v>264</v>
      </c>
      <c r="AN113">
        <v>0</v>
      </c>
    </row>
    <row r="114" spans="1:40" ht="18" customHeight="1">
      <c r="A114" t="str">
        <f>"141720230227185604340568"</f>
        <v>141720230227185604340568</v>
      </c>
      <c r="B114" t="s">
        <v>44</v>
      </c>
      <c r="C114" t="str">
        <f>"杨露露"</f>
        <v>杨露露</v>
      </c>
      <c r="D114" t="str">
        <f t="shared" si="41"/>
        <v>女</v>
      </c>
      <c r="E114" t="str">
        <f>"1997-11"</f>
        <v>1997-11</v>
      </c>
      <c r="F114" t="str">
        <f>"安徽省合肥市"</f>
        <v>安徽省合肥市</v>
      </c>
      <c r="G114" t="str">
        <f t="shared" si="46"/>
        <v>汉族</v>
      </c>
      <c r="H114" t="str">
        <f>"共青团员"</f>
        <v>共青团员</v>
      </c>
      <c r="I114" t="str">
        <f>"340121199711023708"</f>
        <v>340121199711023708</v>
      </c>
      <c r="J114" t="str">
        <f t="shared" si="44"/>
        <v>未婚</v>
      </c>
      <c r="K114" t="str">
        <f>"本科"</f>
        <v>本科</v>
      </c>
      <c r="L114" t="str">
        <f>"学士"</f>
        <v>学士</v>
      </c>
      <c r="M114" t="str">
        <f t="shared" si="45"/>
        <v>学前教育</v>
      </c>
      <c r="N114" t="str">
        <f>"合肥学院"</f>
        <v>合肥学院</v>
      </c>
      <c r="O114" t="str">
        <f>"2023-7-04"</f>
        <v>2023-7-04</v>
      </c>
      <c r="P114" t="str">
        <f>"本科"</f>
        <v>本科</v>
      </c>
      <c r="Q114" t="str">
        <f>"学士"</f>
        <v>学士</v>
      </c>
      <c r="R114" t="str">
        <f t="shared" si="42"/>
        <v>学前教育</v>
      </c>
      <c r="S114" t="str">
        <f>"合肥学院"</f>
        <v>合肥学院</v>
      </c>
      <c r="T114" t="str">
        <f>"2023-7-04"</f>
        <v>2023-7-04</v>
      </c>
      <c r="U114" t="str">
        <f>"幼儿园教师资格证"</f>
        <v>幼儿园教师资格证</v>
      </c>
      <c r="V114" t="str">
        <f>"无"</f>
        <v>无</v>
      </c>
      <c r="W114" t="str">
        <f t="shared" si="39"/>
        <v>无</v>
      </c>
      <c r="X114" t="str">
        <f t="shared" si="40"/>
        <v>是</v>
      </c>
      <c r="Y114" t="str">
        <f>"合肥学院"</f>
        <v>合肥学院</v>
      </c>
      <c r="Z114" t="str">
        <f>"15056996586"</f>
        <v>15056996586</v>
      </c>
      <c r="AA114" t="str">
        <f>"安徽省合肥市长丰县义井乡"</f>
        <v>安徽省合肥市长丰县义井乡</v>
      </c>
      <c r="AB114" s="1" t="str">
        <f>"2015.9-2018.6长丰第一中学
2018.9-2021.6阜阳幼儿师范高等专科学校 学生
2021.9-2023.6合肥学院 学生"</f>
        <v>2015.9-2018.6长丰第一中学
2018.9-2021.6阜阳幼儿师范高等专科学校 学生
2021.9-2023.6合肥学院 学生</v>
      </c>
      <c r="AC114" t="str">
        <f>"无"</f>
        <v>无</v>
      </c>
      <c r="AD114" t="str">
        <f>"舞蹈 手工"</f>
        <v>舞蹈 手工</v>
      </c>
      <c r="AE114" t="str">
        <f>"父女|杨德钱|务农|农民|母女|陈玉玲|务农|农民|弟弟|杨阳|徽商职业学校|学生"</f>
        <v>父女|杨德钱|务农|农民|母女|陈玉玲|务农|农民|弟弟|杨阳|徽商职业学校|学生</v>
      </c>
      <c r="AF114" s="2">
        <v>44985.49594907407</v>
      </c>
      <c r="AG114">
        <v>1</v>
      </c>
      <c r="AH114">
        <v>1</v>
      </c>
      <c r="AI114">
        <v>0</v>
      </c>
      <c r="AJ114" t="s">
        <v>155</v>
      </c>
      <c r="AK114" s="4" t="s">
        <v>264</v>
      </c>
      <c r="AL114" s="4" t="s">
        <v>264</v>
      </c>
      <c r="AM114" s="4" t="s">
        <v>264</v>
      </c>
      <c r="AN114">
        <v>0</v>
      </c>
    </row>
    <row r="115" spans="1:40" ht="18" customHeight="1">
      <c r="A115" t="str">
        <f>"141720230227191104340572"</f>
        <v>141720230227191104340572</v>
      </c>
      <c r="B115" t="s">
        <v>44</v>
      </c>
      <c r="C115" t="str">
        <f>"张巧铃"</f>
        <v>张巧铃</v>
      </c>
      <c r="D115" t="str">
        <f t="shared" si="41"/>
        <v>女</v>
      </c>
      <c r="E115" t="str">
        <f>"2001-09"</f>
        <v>2001-09</v>
      </c>
      <c r="F115" t="str">
        <f>"安徽省合肥市肥东县"</f>
        <v>安徽省合肥市肥东县</v>
      </c>
      <c r="G115" t="str">
        <f t="shared" si="46"/>
        <v>汉族</v>
      </c>
      <c r="H115" t="str">
        <f>"群众"</f>
        <v>群众</v>
      </c>
      <c r="I115" t="str">
        <f>"340123200109180848"</f>
        <v>340123200109180848</v>
      </c>
      <c r="J115" t="str">
        <f t="shared" si="44"/>
        <v>未婚</v>
      </c>
      <c r="K115" t="str">
        <f>"大学专科"</f>
        <v>大学专科</v>
      </c>
      <c r="L115" t="str">
        <f>"大学专科"</f>
        <v>大学专科</v>
      </c>
      <c r="M115" t="str">
        <f t="shared" si="45"/>
        <v>学前教育</v>
      </c>
      <c r="N115" t="str">
        <f>"滁州学院"</f>
        <v>滁州学院</v>
      </c>
      <c r="O115" t="str">
        <f>"2018-06"</f>
        <v>2018-06</v>
      </c>
      <c r="P115" t="str">
        <f>"大学专科"</f>
        <v>大学专科</v>
      </c>
      <c r="Q115" t="str">
        <f>"大学专科"</f>
        <v>大学专科</v>
      </c>
      <c r="R115" t="str">
        <f t="shared" si="42"/>
        <v>学前教育</v>
      </c>
      <c r="S115" t="str">
        <f>"滁州学院"</f>
        <v>滁州学院</v>
      </c>
      <c r="T115" t="str">
        <f>"2018-06"</f>
        <v>2018-06</v>
      </c>
      <c r="U115" t="str">
        <f>"滁州学院大学专科毕业证、普通话二甲证、幼儿园教师资格证"</f>
        <v>滁州学院大学专科毕业证、普通话二甲证、幼儿园教师资格证</v>
      </c>
      <c r="V115" t="str">
        <f>"5年"</f>
        <v>5年</v>
      </c>
      <c r="W115" t="str">
        <f t="shared" si="39"/>
        <v>无</v>
      </c>
      <c r="X115" t="str">
        <f t="shared" si="40"/>
        <v>是</v>
      </c>
      <c r="Y115" t="str">
        <f>"合肥市包河区精英佳源都市幼儿园"</f>
        <v>合肥市包河区精英佳源都市幼儿园</v>
      </c>
      <c r="Z115" t="str">
        <f>"18654142680"</f>
        <v>18654142680</v>
      </c>
      <c r="AA115" t="str">
        <f>"安徽省合肥市肥东县店埠镇东方新城"</f>
        <v>安徽省合肥市肥东县店埠镇东方新城</v>
      </c>
      <c r="AB115" s="1" t="str">
        <f>"2013.9-2016.6尚真中学
2016.9-2018.6滁州学院
2018.9-2022.6华英幼儿园
2022.6-2023.3合肥市包河区精英佳源都市幼儿园"</f>
        <v>2013.9-2016.6尚真中学
2016.9-2018.6滁州学院
2018.9-2022.6华英幼儿园
2022.6-2023.3合肥市包河区精英佳源都市幼儿园</v>
      </c>
      <c r="AC115" t="str">
        <f>"2020瑶海区幼儿教师讲故事比赛中获三等奖 2022年在新站区自制教玩具比赛中获一等奖"</f>
        <v>2020瑶海区幼儿教师讲故事比赛中获三等奖 2022年在新站区自制教玩具比赛中获一等奖</v>
      </c>
      <c r="AD115" t="str">
        <f>"讲故事"</f>
        <v>讲故事</v>
      </c>
      <c r="AE115" t="str">
        <f>"妈妈|谢学琼|无|无||||||||"</f>
        <v>妈妈|谢学琼|无|无||||||||</v>
      </c>
      <c r="AF115" s="2">
        <v>44987.39173611111</v>
      </c>
      <c r="AG115">
        <v>1</v>
      </c>
      <c r="AH115">
        <v>1</v>
      </c>
      <c r="AI115">
        <v>0</v>
      </c>
      <c r="AJ115" t="s">
        <v>156</v>
      </c>
      <c r="AK115" s="4">
        <v>62.3</v>
      </c>
      <c r="AL115" s="4">
        <v>58.5</v>
      </c>
      <c r="AM115" s="4">
        <v>60.4</v>
      </c>
      <c r="AN115">
        <v>0</v>
      </c>
    </row>
    <row r="116" spans="1:40" ht="18" customHeight="1">
      <c r="A116" t="str">
        <f>"141720230227191602340574"</f>
        <v>141720230227191602340574</v>
      </c>
      <c r="B116" t="s">
        <v>44</v>
      </c>
      <c r="C116" t="str">
        <f>"黄婳婳"</f>
        <v>黄婳婳</v>
      </c>
      <c r="D116" t="str">
        <f t="shared" si="41"/>
        <v>女</v>
      </c>
      <c r="E116" t="str">
        <f>"1995-08"</f>
        <v>1995-08</v>
      </c>
      <c r="F116" t="str">
        <f>"安徽庐阳区"</f>
        <v>安徽庐阳区</v>
      </c>
      <c r="G116" t="str">
        <f t="shared" si="46"/>
        <v>汉族</v>
      </c>
      <c r="H116" t="str">
        <f>"群众"</f>
        <v>群众</v>
      </c>
      <c r="I116" t="str">
        <f>"340103199508123065"</f>
        <v>340103199508123065</v>
      </c>
      <c r="J116" t="str">
        <f t="shared" si="44"/>
        <v>未婚</v>
      </c>
      <c r="K116" t="str">
        <f>"大专"</f>
        <v>大专</v>
      </c>
      <c r="L116" t="str">
        <f>"无"</f>
        <v>无</v>
      </c>
      <c r="M116" t="str">
        <f t="shared" si="45"/>
        <v>学前教育</v>
      </c>
      <c r="N116" t="str">
        <f>"合肥师范学院"</f>
        <v>合肥师范学院</v>
      </c>
      <c r="O116" t="str">
        <f>"2016-07"</f>
        <v>2016-07</v>
      </c>
      <c r="P116" t="str">
        <f>"大专"</f>
        <v>大专</v>
      </c>
      <c r="Q116" t="str">
        <f>"无"</f>
        <v>无</v>
      </c>
      <c r="R116" t="str">
        <f t="shared" si="42"/>
        <v>学前教育</v>
      </c>
      <c r="S116" t="str">
        <f>"合肥师范学院"</f>
        <v>合肥师范学院</v>
      </c>
      <c r="T116" t="str">
        <f>"2016-07"</f>
        <v>2016-07</v>
      </c>
      <c r="U116" t="str">
        <f>"幼儿园教师资格证"</f>
        <v>幼儿园教师资格证</v>
      </c>
      <c r="V116" t="str">
        <f>"6年"</f>
        <v>6年</v>
      </c>
      <c r="W116" t="str">
        <f>"三级"</f>
        <v>三级</v>
      </c>
      <c r="X116" t="str">
        <f t="shared" si="40"/>
        <v>是</v>
      </c>
      <c r="Y116" t="str">
        <f>"合肥市瑶海银河幼儿园"</f>
        <v>合肥市瑶海银河幼儿园</v>
      </c>
      <c r="Z116" t="str">
        <f>"18005601451"</f>
        <v>18005601451</v>
      </c>
      <c r="AA116" t="str">
        <f>"合肥市瑶海区北苑小区"</f>
        <v>合肥市瑶海区北苑小区</v>
      </c>
      <c r="AB116" t="str">
        <f>"2011.9-2013.7肥西师范 学生；2013.9-2016.7合肥师范学院 学生；2016.9-至今合肥瑶海银河幼儿园 教师"</f>
        <v>2011.9-2013.7肥西师范 学生；2013.9-2016.7合肥师范学院 学生；2016.9-至今合肥瑶海银河幼儿园 教师</v>
      </c>
      <c r="AC116" t="str">
        <f>"无"</f>
        <v>无</v>
      </c>
      <c r="AD116" t="str">
        <f>"钢琴、舞蹈"</f>
        <v>钢琴、舞蹈</v>
      </c>
      <c r="AE116" t="str">
        <f>"父亲|黄栓柱|个体||母亲|张存霞|自由职业||弟弟|杨景櫆||学生"</f>
        <v>父亲|黄栓柱|个体||母亲|张存霞|自由职业||弟弟|杨景櫆||学生</v>
      </c>
      <c r="AF116" s="2">
        <v>44985.501759259256</v>
      </c>
      <c r="AG116">
        <v>1</v>
      </c>
      <c r="AH116">
        <v>1</v>
      </c>
      <c r="AI116">
        <v>0</v>
      </c>
      <c r="AJ116" t="s">
        <v>157</v>
      </c>
      <c r="AK116" s="4">
        <v>52.3</v>
      </c>
      <c r="AL116" s="4">
        <v>61.3</v>
      </c>
      <c r="AM116" s="4">
        <v>56.8</v>
      </c>
      <c r="AN116">
        <v>0</v>
      </c>
    </row>
    <row r="117" spans="1:40" ht="18" customHeight="1">
      <c r="A117" t="str">
        <f>"141720230227195118340585"</f>
        <v>141720230227195118340585</v>
      </c>
      <c r="B117" t="s">
        <v>44</v>
      </c>
      <c r="C117" t="str">
        <f>"张丽娟"</f>
        <v>张丽娟</v>
      </c>
      <c r="D117" t="str">
        <f t="shared" si="41"/>
        <v>女</v>
      </c>
      <c r="E117" t="str">
        <f>"2002年1月"</f>
        <v>2002年1月</v>
      </c>
      <c r="F117" t="str">
        <f>"皖(舒)"</f>
        <v>皖(舒)</v>
      </c>
      <c r="G117" t="str">
        <f t="shared" si="46"/>
        <v>汉族</v>
      </c>
      <c r="H117" t="str">
        <f>"群众"</f>
        <v>群众</v>
      </c>
      <c r="I117" t="str">
        <f>"342425200201195226"</f>
        <v>342425200201195226</v>
      </c>
      <c r="J117" t="str">
        <f t="shared" si="44"/>
        <v>未婚</v>
      </c>
      <c r="K117" t="str">
        <f>"本科"</f>
        <v>本科</v>
      </c>
      <c r="L117" t="str">
        <f>"专科"</f>
        <v>专科</v>
      </c>
      <c r="M117" t="str">
        <f t="shared" si="45"/>
        <v>学前教育</v>
      </c>
      <c r="N117" t="str">
        <f>"淮北师范大学"</f>
        <v>淮北师范大学</v>
      </c>
      <c r="O117" t="str">
        <f>"2025年7月"</f>
        <v>2025年7月</v>
      </c>
      <c r="P117" t="str">
        <f>"专科"</f>
        <v>专科</v>
      </c>
      <c r="Q117" t="str">
        <f>"专科"</f>
        <v>专科</v>
      </c>
      <c r="R117" t="str">
        <f t="shared" si="42"/>
        <v>学前教育</v>
      </c>
      <c r="S117" t="str">
        <f>"桐城师范高等专科学校"</f>
        <v>桐城师范高等专科学校</v>
      </c>
      <c r="T117" t="str">
        <f>"2022.7"</f>
        <v>2022.7</v>
      </c>
      <c r="U117" t="str">
        <f>"教师资格证，普通话二甲，中国舞蹈家协会三级，幼儿照护初级"</f>
        <v>教师资格证，普通话二甲，中国舞蹈家协会三级，幼儿照护初级</v>
      </c>
      <c r="V117" t="str">
        <f>"庐阳橡树湾幼儿园工作半年"</f>
        <v>庐阳橡树湾幼儿园工作半年</v>
      </c>
      <c r="W117" t="str">
        <f aca="true" t="shared" si="47" ref="W117:W132">"无"</f>
        <v>无</v>
      </c>
      <c r="X117" t="str">
        <f t="shared" si="40"/>
        <v>是</v>
      </c>
      <c r="Y117" t="str">
        <f>"庐阳橡树湾幼儿园"</f>
        <v>庐阳橡树湾幼儿园</v>
      </c>
      <c r="Z117" t="str">
        <f>"18715640286"</f>
        <v>18715640286</v>
      </c>
      <c r="AA117" t="str">
        <f>"安徽省合肥市长丰县 双凤大道120号恒泰阿奎利亚上学苑"</f>
        <v>安徽省合肥市长丰县 双凤大道120号恒泰阿奎利亚上学苑</v>
      </c>
      <c r="AB117" s="1" t="str">
        <f>"2017.9-2019.7舒城职业学校
2019.9-2022.7桐城师范高等专科学校
2022.9-至今庐阳橡树湾幼儿园"</f>
        <v>2017.9-2019.7舒城职业学校
2019.9-2022.7桐城师范高等专科学校
2022.9-至今庐阳橡树湾幼儿园</v>
      </c>
      <c r="AC117" t="str">
        <f>"无"</f>
        <v>无</v>
      </c>
      <c r="AD117" t="str">
        <f>"无"</f>
        <v>无</v>
      </c>
      <c r="AE117" t="str">
        <f>"父亲|周家元|舒城县|司机|母亲|张德转|舒城县|农民|妹妹|张莹莹|舒城职业学校|学生"</f>
        <v>父亲|周家元|舒城县|司机|母亲|张德转|舒城县|农民|妹妹|张莹莹|舒城职业学校|学生</v>
      </c>
      <c r="AF117" s="2">
        <v>44986.40574074074</v>
      </c>
      <c r="AG117">
        <v>1</v>
      </c>
      <c r="AH117">
        <v>1</v>
      </c>
      <c r="AI117">
        <v>0</v>
      </c>
      <c r="AJ117" t="s">
        <v>158</v>
      </c>
      <c r="AK117" s="4">
        <v>75.4</v>
      </c>
      <c r="AL117" s="4">
        <v>68.3</v>
      </c>
      <c r="AM117" s="4">
        <v>71.85</v>
      </c>
      <c r="AN117">
        <v>0</v>
      </c>
    </row>
    <row r="118" spans="1:40" ht="18" customHeight="1">
      <c r="A118" t="str">
        <f>"141720230227200212340586"</f>
        <v>141720230227200212340586</v>
      </c>
      <c r="B118" t="s">
        <v>44</v>
      </c>
      <c r="C118" t="str">
        <f>"方蕾蕾"</f>
        <v>方蕾蕾</v>
      </c>
      <c r="D118" t="str">
        <f t="shared" si="41"/>
        <v>女</v>
      </c>
      <c r="E118" t="str">
        <f>"2001-09"</f>
        <v>2001-09</v>
      </c>
      <c r="F118" t="str">
        <f>"安徽省安庆市宜秀区"</f>
        <v>安徽省安庆市宜秀区</v>
      </c>
      <c r="G118" t="str">
        <f t="shared" si="46"/>
        <v>汉族</v>
      </c>
      <c r="H118" t="str">
        <f>"共青团员"</f>
        <v>共青团员</v>
      </c>
      <c r="I118" t="str">
        <f>"340811200109116523"</f>
        <v>340811200109116523</v>
      </c>
      <c r="J118" t="str">
        <f t="shared" si="44"/>
        <v>未婚</v>
      </c>
      <c r="K118" t="str">
        <f>"本科"</f>
        <v>本科</v>
      </c>
      <c r="L118" t="str">
        <f>"学士学位"</f>
        <v>学士学位</v>
      </c>
      <c r="M118" t="str">
        <f t="shared" si="45"/>
        <v>学前教育</v>
      </c>
      <c r="N118" t="str">
        <f>"阜阳师范大学"</f>
        <v>阜阳师范大学</v>
      </c>
      <c r="O118" t="str">
        <f>"2023年7月"</f>
        <v>2023年7月</v>
      </c>
      <c r="P118" t="str">
        <f>"本科"</f>
        <v>本科</v>
      </c>
      <c r="Q118" t="str">
        <f>"学士学位"</f>
        <v>学士学位</v>
      </c>
      <c r="R118" t="str">
        <f t="shared" si="42"/>
        <v>学前教育</v>
      </c>
      <c r="S118" t="str">
        <f>"阜阳师范大学"</f>
        <v>阜阳师范大学</v>
      </c>
      <c r="T118" t="str">
        <f>"2023年7月"</f>
        <v>2023年7月</v>
      </c>
      <c r="U118" t="str">
        <f>"幼儿教师资格证等"</f>
        <v>幼儿教师资格证等</v>
      </c>
      <c r="V118" t="str">
        <f>"实习半年"</f>
        <v>实习半年</v>
      </c>
      <c r="W118" t="str">
        <f t="shared" si="47"/>
        <v>无</v>
      </c>
      <c r="X118" t="str">
        <f t="shared" si="40"/>
        <v>是</v>
      </c>
      <c r="Y118" t="str">
        <f>"合肥康城静林湾幼儿园"</f>
        <v>合肥康城静林湾幼儿园</v>
      </c>
      <c r="Z118" t="str">
        <f>"19856873254"</f>
        <v>19856873254</v>
      </c>
      <c r="AA118" t="str">
        <f>"安徽省安庆市宜秀区回祥小区"</f>
        <v>安徽省安庆市宜秀区回祥小区</v>
      </c>
      <c r="AB118" t="str">
        <f>"2016.9-2019.6安庆市第二中学 学生；2019.9-2023.6阜阳师范大学 学生"</f>
        <v>2016.9-2019.6安庆市第二中学 学生；2019.9-2023.6阜阳师范大学 学生</v>
      </c>
      <c r="AC118" t="str">
        <f>"无"</f>
        <v>无</v>
      </c>
      <c r="AD118" t="str">
        <f>"无"</f>
        <v>无</v>
      </c>
      <c r="AE118" t="str">
        <f>"父亲|方长飞|无|无|母亲|陈兆辉|无|无|姐姐|方贝贝|无|无"</f>
        <v>父亲|方长飞|无|无|母亲|陈兆辉|无|无|姐姐|方贝贝|无|无</v>
      </c>
      <c r="AF118" s="2">
        <v>44985.50226851852</v>
      </c>
      <c r="AG118">
        <v>1</v>
      </c>
      <c r="AH118">
        <v>1</v>
      </c>
      <c r="AI118">
        <v>0</v>
      </c>
      <c r="AJ118" t="s">
        <v>159</v>
      </c>
      <c r="AK118" s="4">
        <v>78.3</v>
      </c>
      <c r="AL118" s="4">
        <v>69.1</v>
      </c>
      <c r="AM118" s="4">
        <v>73.69999999999999</v>
      </c>
      <c r="AN118">
        <v>0</v>
      </c>
    </row>
    <row r="119" spans="1:40" ht="18" customHeight="1">
      <c r="A119" t="str">
        <f>"141720230227200325340587"</f>
        <v>141720230227200325340587</v>
      </c>
      <c r="B119" t="s">
        <v>44</v>
      </c>
      <c r="C119" t="str">
        <f>"高子兰"</f>
        <v>高子兰</v>
      </c>
      <c r="D119" t="str">
        <f t="shared" si="41"/>
        <v>女</v>
      </c>
      <c r="E119" t="str">
        <f>"2000-09-12"</f>
        <v>2000-09-12</v>
      </c>
      <c r="F119" t="str">
        <f>"安徽阜阳市阜南县"</f>
        <v>安徽阜阳市阜南县</v>
      </c>
      <c r="G119" t="str">
        <f t="shared" si="46"/>
        <v>汉族</v>
      </c>
      <c r="H119" t="str">
        <f>"共青团员"</f>
        <v>共青团员</v>
      </c>
      <c r="I119" t="str">
        <f>"341225200009120863"</f>
        <v>341225200009120863</v>
      </c>
      <c r="J119" t="str">
        <f t="shared" si="44"/>
        <v>未婚</v>
      </c>
      <c r="K119" t="str">
        <f>"本科"</f>
        <v>本科</v>
      </c>
      <c r="L119" t="str">
        <f>"学士"</f>
        <v>学士</v>
      </c>
      <c r="M119" t="str">
        <f t="shared" si="45"/>
        <v>学前教育</v>
      </c>
      <c r="N119" t="str">
        <f>"淮北理工学院"</f>
        <v>淮北理工学院</v>
      </c>
      <c r="O119" t="str">
        <f>"2023.07"</f>
        <v>2023.07</v>
      </c>
      <c r="P119" t="str">
        <f>"本科"</f>
        <v>本科</v>
      </c>
      <c r="Q119" t="str">
        <f>"学士"</f>
        <v>学士</v>
      </c>
      <c r="R119" t="str">
        <f t="shared" si="42"/>
        <v>学前教育</v>
      </c>
      <c r="S119" t="str">
        <f>"淮北理工学院"</f>
        <v>淮北理工学院</v>
      </c>
      <c r="T119" t="str">
        <f>"2023.7"</f>
        <v>2023.7</v>
      </c>
      <c r="U119" t="str">
        <f>"幼儿园教师资格证"</f>
        <v>幼儿园教师资格证</v>
      </c>
      <c r="V119" t="str">
        <f>"半年"</f>
        <v>半年</v>
      </c>
      <c r="W119" t="str">
        <f t="shared" si="47"/>
        <v>无</v>
      </c>
      <c r="X119" t="str">
        <f t="shared" si="40"/>
        <v>是</v>
      </c>
      <c r="Y119" t="str">
        <f>"蜀山区未来之星幼儿园"</f>
        <v>蜀山区未来之星幼儿园</v>
      </c>
      <c r="Z119" t="str">
        <f>"18255849823"</f>
        <v>18255849823</v>
      </c>
      <c r="AA119" t="str">
        <f>"安徽省阜阳市阜南县王店孜乡高庄村贾庄"</f>
        <v>安徽省阜阳市阜南县王店孜乡高庄村贾庄</v>
      </c>
      <c r="AB119" s="1" t="str">
        <f>"2016.9-2018.7阜南县农林科技学校 学生
2018.9-2021.7宿州职业技术学院   学生
2021.9-2023.7淮北理工学院       学生"</f>
        <v>2016.9-2018.7阜南县农林科技学校 学生
2018.9-2021.7宿州职业技术学院   学生
2021.9-2023.7淮北理工学院       学生</v>
      </c>
      <c r="AC119" t="str">
        <f>"无"</f>
        <v>无</v>
      </c>
      <c r="AD119" t="str">
        <f>"打羽毛球"</f>
        <v>打羽毛球</v>
      </c>
      <c r="AE119" t="str">
        <f>"母亲|贾燕敏|无|务农||||||||"</f>
        <v>母亲|贾燕敏|无|务农||||||||</v>
      </c>
      <c r="AF119" s="2">
        <v>44985.50258101852</v>
      </c>
      <c r="AG119">
        <v>1</v>
      </c>
      <c r="AH119">
        <v>1</v>
      </c>
      <c r="AI119">
        <v>0</v>
      </c>
      <c r="AJ119" t="s">
        <v>160</v>
      </c>
      <c r="AK119" s="4">
        <v>64</v>
      </c>
      <c r="AL119" s="4">
        <v>63.8</v>
      </c>
      <c r="AM119" s="4">
        <v>63.9</v>
      </c>
      <c r="AN119">
        <v>0</v>
      </c>
    </row>
    <row r="120" spans="1:40" ht="18" customHeight="1">
      <c r="A120" t="str">
        <f>"141720230227202158340590"</f>
        <v>141720230227202158340590</v>
      </c>
      <c r="B120" t="s">
        <v>44</v>
      </c>
      <c r="C120" t="str">
        <f>"完梦涵"</f>
        <v>完梦涵</v>
      </c>
      <c r="D120" t="str">
        <f t="shared" si="41"/>
        <v>女</v>
      </c>
      <c r="E120" t="str">
        <f>"2001-03-10"</f>
        <v>2001-03-10</v>
      </c>
      <c r="F120" t="str">
        <f>"安徽合肥"</f>
        <v>安徽合肥</v>
      </c>
      <c r="G120" t="str">
        <f>"少数民族"</f>
        <v>少数民族</v>
      </c>
      <c r="H120" t="str">
        <f>"中共党员"</f>
        <v>中共党员</v>
      </c>
      <c r="I120" t="str">
        <f>"340123200103100069"</f>
        <v>340123200103100069</v>
      </c>
      <c r="J120" t="str">
        <f t="shared" si="44"/>
        <v>未婚</v>
      </c>
      <c r="K120" t="str">
        <f>"本科"</f>
        <v>本科</v>
      </c>
      <c r="L120" t="str">
        <f>"学士"</f>
        <v>学士</v>
      </c>
      <c r="M120" t="str">
        <f t="shared" si="45"/>
        <v>学前教育</v>
      </c>
      <c r="N120" t="str">
        <f>"安庆师范大学"</f>
        <v>安庆师范大学</v>
      </c>
      <c r="O120" t="str">
        <f>"2022-6-19"</f>
        <v>2022-6-19</v>
      </c>
      <c r="P120" t="str">
        <f>"本科"</f>
        <v>本科</v>
      </c>
      <c r="Q120" t="str">
        <f>"学士"</f>
        <v>学士</v>
      </c>
      <c r="R120" t="str">
        <f t="shared" si="42"/>
        <v>学前教育</v>
      </c>
      <c r="S120" t="str">
        <f>"安庆师范大学"</f>
        <v>安庆师范大学</v>
      </c>
      <c r="T120" t="str">
        <f>"2022-6-19"</f>
        <v>2022-6-19</v>
      </c>
      <c r="U120" t="str">
        <f>"幼儿教师资格证"</f>
        <v>幼儿教师资格证</v>
      </c>
      <c r="V120" t="str">
        <f>"一年"</f>
        <v>一年</v>
      </c>
      <c r="W120" t="str">
        <f t="shared" si="47"/>
        <v>无</v>
      </c>
      <c r="X120" t="str">
        <f t="shared" si="40"/>
        <v>是</v>
      </c>
      <c r="Y120" t="str">
        <f>"合肥通用技术学校"</f>
        <v>合肥通用技术学校</v>
      </c>
      <c r="Z120" t="str">
        <f>"13399652405"</f>
        <v>13399652405</v>
      </c>
      <c r="AA120" t="str">
        <f>"合肥市东七里"</f>
        <v>合肥市东七里</v>
      </c>
      <c r="AB120" s="1" t="str">
        <f>"2016-2018，就读于肥东圣泉中学
2018-2022，就读于安庆师范大学
2021.03-2021.07 担任潜山市黄泥镇步步高幼儿园配班教师
"</f>
        <v>2016-2018，就读于肥东圣泉中学
2018-2022，就读于安庆师范大学
2021.03-2021.07 担任潜山市黄泥镇步步高幼儿园配班教师
</v>
      </c>
      <c r="AC120" t="str">
        <f>"无"</f>
        <v>无</v>
      </c>
      <c r="AD120" t="str">
        <f>"无"</f>
        <v>无</v>
      </c>
      <c r="AE120" t="str">
        <f>"父女|完永钊|肥东县城关中学|教师|母女|朱邦芝|蓝天毛巾厂|职工||||"</f>
        <v>父女|完永钊|肥东县城关中学|教师|母女|朱邦芝|蓝天毛巾厂|职工||||</v>
      </c>
      <c r="AF120" s="2">
        <v>44985.50539351852</v>
      </c>
      <c r="AG120">
        <v>1</v>
      </c>
      <c r="AH120">
        <v>1</v>
      </c>
      <c r="AI120">
        <v>0</v>
      </c>
      <c r="AJ120" t="s">
        <v>161</v>
      </c>
      <c r="AK120" s="4" t="s">
        <v>264</v>
      </c>
      <c r="AL120" s="4" t="s">
        <v>264</v>
      </c>
      <c r="AM120" s="4" t="s">
        <v>264</v>
      </c>
      <c r="AN120">
        <v>0</v>
      </c>
    </row>
    <row r="121" spans="1:40" ht="18" customHeight="1">
      <c r="A121" t="str">
        <f>"141720230227204143340594"</f>
        <v>141720230227204143340594</v>
      </c>
      <c r="B121" t="s">
        <v>44</v>
      </c>
      <c r="C121" t="str">
        <f>"李荣荣"</f>
        <v>李荣荣</v>
      </c>
      <c r="D121" t="str">
        <f t="shared" si="41"/>
        <v>女</v>
      </c>
      <c r="E121" t="str">
        <f>"1999-10-29"</f>
        <v>1999-10-29</v>
      </c>
      <c r="F121" t="str">
        <f>"安徽合肥肥西"</f>
        <v>安徽合肥肥西</v>
      </c>
      <c r="G121" t="str">
        <f aca="true" t="shared" si="48" ref="G121:G130">"汉族"</f>
        <v>汉族</v>
      </c>
      <c r="H121" t="str">
        <f>"预备党员"</f>
        <v>预备党员</v>
      </c>
      <c r="I121" t="str">
        <f>"340122199910296924"</f>
        <v>340122199910296924</v>
      </c>
      <c r="J121" t="str">
        <f t="shared" si="44"/>
        <v>未婚</v>
      </c>
      <c r="K121" t="str">
        <f>"大专"</f>
        <v>大专</v>
      </c>
      <c r="L121" t="str">
        <f>"大专"</f>
        <v>大专</v>
      </c>
      <c r="M121" t="str">
        <f>"桐城师范 学前系早期教育  学前教育中多开了一门早期教育 "</f>
        <v>桐城师范 学前系早期教育  学前教育中多开了一门早期教育 </v>
      </c>
      <c r="N121" t="str">
        <f>"桐城师范"</f>
        <v>桐城师范</v>
      </c>
      <c r="O121" t="str">
        <f>"2022-7-1"</f>
        <v>2022-7-1</v>
      </c>
      <c r="P121" t="str">
        <f>"专科"</f>
        <v>专科</v>
      </c>
      <c r="Q121" t="str">
        <f>"专科"</f>
        <v>专科</v>
      </c>
      <c r="R121" t="str">
        <f>"桐城师范学前系早教专业:属于学前教育中多开了一门早期教育！"</f>
        <v>桐城师范学前系早教专业:属于学前教育中多开了一门早期教育！</v>
      </c>
      <c r="S121" t="str">
        <f>"桐城师范"</f>
        <v>桐城师范</v>
      </c>
      <c r="T121" t="str">
        <f>"2022-7-1"</f>
        <v>2022-7-1</v>
      </c>
      <c r="U121" t="str">
        <f>"有幼儿教师资格证！ 钢琴等  有幼儿教师资格证！有学前教师资格证"</f>
        <v>有幼儿教师资格证！ 钢琴等  有幼儿教师资格证！有学前教师资格证</v>
      </c>
      <c r="V121" t="str">
        <f>"2019-2022 机构带课，2022至今沃野幼儿园任教"</f>
        <v>2019-2022 机构带课，2022至今沃野幼儿园任教</v>
      </c>
      <c r="W121" t="str">
        <f t="shared" si="47"/>
        <v>无</v>
      </c>
      <c r="X121" t="str">
        <f t="shared" si="40"/>
        <v>是</v>
      </c>
      <c r="Y121" t="str">
        <f>"合肥永红幼教沃野幼儿园"</f>
        <v>合肥永红幼教沃野幼儿园</v>
      </c>
      <c r="Z121" t="str">
        <f>"19810959721"</f>
        <v>19810959721</v>
      </c>
      <c r="AA121" t="str">
        <f>"合肥瑶海"</f>
        <v>合肥瑶海</v>
      </c>
      <c r="AB121" t="str">
        <f>"2019-2022 在校期间在机构带课    2022至今派沃野幼几园任教师"</f>
        <v>2019-2022 在校期间在机构带课    2022至今派沃野幼几园任教师</v>
      </c>
      <c r="AC121" t="str">
        <f>"有奖 钢琴"</f>
        <v>有奖 钢琴</v>
      </c>
      <c r="AD121" t="str">
        <f>"表演"</f>
        <v>表演</v>
      </c>
      <c r="AE121" t="str">
        <f>"父女|李业务|自由职业||母女|唐丽萍|自由职业|||||"</f>
        <v>父女|李业务|自由职业||母女|唐丽萍|自由职业|||||</v>
      </c>
      <c r="AF121" s="2">
        <v>44988.55793981482</v>
      </c>
      <c r="AG121">
        <v>1</v>
      </c>
      <c r="AH121">
        <v>1</v>
      </c>
      <c r="AI121">
        <v>0</v>
      </c>
      <c r="AJ121" t="s">
        <v>162</v>
      </c>
      <c r="AK121" s="4">
        <v>57.6</v>
      </c>
      <c r="AL121" s="4">
        <v>64.7</v>
      </c>
      <c r="AM121" s="4">
        <v>61.150000000000006</v>
      </c>
      <c r="AN121">
        <v>0</v>
      </c>
    </row>
    <row r="122" spans="1:40" ht="18" customHeight="1">
      <c r="A122" t="str">
        <f>"141720230227212520340603"</f>
        <v>141720230227212520340603</v>
      </c>
      <c r="B122" t="s">
        <v>44</v>
      </c>
      <c r="C122" t="str">
        <f>"笪海燕"</f>
        <v>笪海燕</v>
      </c>
      <c r="D122" t="str">
        <f t="shared" si="41"/>
        <v>女</v>
      </c>
      <c r="E122" t="str">
        <f>"2003-05-16"</f>
        <v>2003-05-16</v>
      </c>
      <c r="F122" t="str">
        <f>"安徽桐城市"</f>
        <v>安徽桐城市</v>
      </c>
      <c r="G122" t="str">
        <f t="shared" si="48"/>
        <v>汉族</v>
      </c>
      <c r="H122" t="str">
        <f>"共青团员"</f>
        <v>共青团员</v>
      </c>
      <c r="I122" t="str">
        <f>"340881200305165321"</f>
        <v>340881200305165321</v>
      </c>
      <c r="J122" t="str">
        <f t="shared" si="44"/>
        <v>未婚</v>
      </c>
      <c r="K122" t="str">
        <f>"大专"</f>
        <v>大专</v>
      </c>
      <c r="L122" t="str">
        <f>"无"</f>
        <v>无</v>
      </c>
      <c r="M122" t="str">
        <f>"学前教育"</f>
        <v>学前教育</v>
      </c>
      <c r="N122" t="str">
        <f>"马鞍山师范高等专科学校"</f>
        <v>马鞍山师范高等专科学校</v>
      </c>
      <c r="O122" t="str">
        <f>"2023年6月"</f>
        <v>2023年6月</v>
      </c>
      <c r="P122" t="str">
        <f>"大专"</f>
        <v>大专</v>
      </c>
      <c r="Q122" t="str">
        <f>"无"</f>
        <v>无</v>
      </c>
      <c r="R122" t="str">
        <f aca="true" t="shared" si="49" ref="R122:R127">"学前教育"</f>
        <v>学前教育</v>
      </c>
      <c r="S122" t="str">
        <f>"马鞍山师范高等专科学校"</f>
        <v>马鞍山师范高等专科学校</v>
      </c>
      <c r="T122" t="str">
        <f>"2323年6月"</f>
        <v>2323年6月</v>
      </c>
      <c r="U122" t="str">
        <f>"幼儿教师资格证书"</f>
        <v>幼儿教师资格证书</v>
      </c>
      <c r="V122" t="str">
        <f>"无"</f>
        <v>无</v>
      </c>
      <c r="W122" t="str">
        <f t="shared" si="47"/>
        <v>无</v>
      </c>
      <c r="X122" t="str">
        <f t="shared" si="40"/>
        <v>是</v>
      </c>
      <c r="Y122" t="str">
        <f>"无"</f>
        <v>无</v>
      </c>
      <c r="Z122" t="str">
        <f>"15222924993"</f>
        <v>15222924993</v>
      </c>
      <c r="AA122" t="str">
        <f>"安徽省安庆市桐城市大关镇台庄村"</f>
        <v>安徽省安庆市桐城市大关镇台庄村</v>
      </c>
      <c r="AB122" s="1" t="str">
        <f>"2018.9—2020.6马鞍山幼儿师范学校
2020.9—2023.6马鞍山师范高等专科学校"</f>
        <v>2018.9—2020.6马鞍山幼儿师范学校
2020.9—2023.6马鞍山师范高等专科学校</v>
      </c>
      <c r="AC122" t="str">
        <f>"无"</f>
        <v>无</v>
      </c>
      <c r="AD122" t="str">
        <f>"钢琴舞蹈"</f>
        <v>钢琴舞蹈</v>
      </c>
      <c r="AE122" t="str">
        <f>"父女|笪久义|无|无|母女|吴焕云|无|无||||"</f>
        <v>父女|笪久义|无|无|母女|吴焕云|无|无||||</v>
      </c>
      <c r="AF122" s="2">
        <v>44986.38123842593</v>
      </c>
      <c r="AG122">
        <v>1</v>
      </c>
      <c r="AH122">
        <v>1</v>
      </c>
      <c r="AI122">
        <v>0</v>
      </c>
      <c r="AJ122" t="s">
        <v>163</v>
      </c>
      <c r="AK122" s="4">
        <v>61.4</v>
      </c>
      <c r="AL122" s="4">
        <v>64.6</v>
      </c>
      <c r="AM122" s="4">
        <v>63</v>
      </c>
      <c r="AN122">
        <v>0</v>
      </c>
    </row>
    <row r="123" spans="1:40" ht="18" customHeight="1">
      <c r="A123" t="str">
        <f>"141720230227212554340604"</f>
        <v>141720230227212554340604</v>
      </c>
      <c r="B123" t="s">
        <v>44</v>
      </c>
      <c r="C123" t="str">
        <f>"许彤"</f>
        <v>许彤</v>
      </c>
      <c r="D123" t="str">
        <f t="shared" si="41"/>
        <v>女</v>
      </c>
      <c r="E123" t="str">
        <f>"2000-11"</f>
        <v>2000-11</v>
      </c>
      <c r="F123" t="str">
        <f>"安徽瑶海区"</f>
        <v>安徽瑶海区</v>
      </c>
      <c r="G123" t="str">
        <f t="shared" si="48"/>
        <v>汉族</v>
      </c>
      <c r="H123" t="str">
        <f>"共青团员"</f>
        <v>共青团员</v>
      </c>
      <c r="I123" t="str">
        <f>"340123200011083329"</f>
        <v>340123200011083329</v>
      </c>
      <c r="J123" t="str">
        <f t="shared" si="44"/>
        <v>未婚</v>
      </c>
      <c r="K123" t="str">
        <f>"本科"</f>
        <v>本科</v>
      </c>
      <c r="L123" t="str">
        <f>"本科"</f>
        <v>本科</v>
      </c>
      <c r="M123" t="str">
        <f>"学前教育"</f>
        <v>学前教育</v>
      </c>
      <c r="N123" t="str">
        <f>"黄山学院"</f>
        <v>黄山学院</v>
      </c>
      <c r="O123" t="str">
        <f>"2023-06"</f>
        <v>2023-06</v>
      </c>
      <c r="P123" t="str">
        <f>"本科"</f>
        <v>本科</v>
      </c>
      <c r="Q123" t="str">
        <f>"本科"</f>
        <v>本科</v>
      </c>
      <c r="R123" t="str">
        <f t="shared" si="49"/>
        <v>学前教育</v>
      </c>
      <c r="S123" t="str">
        <f>"黄山学院"</f>
        <v>黄山学院</v>
      </c>
      <c r="T123" t="str">
        <f>"2023-06"</f>
        <v>2023-06</v>
      </c>
      <c r="U123" t="str">
        <f>"幼儿教师资格证、小学语文教师资格证、小学数学教师资格证、育婴师中级证、母婴护理1="</f>
        <v>幼儿教师资格证、小学语文教师资格证、小学数学教师资格证、育婴师中级证、母婴护理1=</v>
      </c>
      <c r="V123" t="str">
        <f>"无"</f>
        <v>无</v>
      </c>
      <c r="W123" t="str">
        <f t="shared" si="47"/>
        <v>无</v>
      </c>
      <c r="X123" t="str">
        <f t="shared" si="40"/>
        <v>是</v>
      </c>
      <c r="Y123" t="str">
        <f>"无"</f>
        <v>无</v>
      </c>
      <c r="Z123" t="str">
        <f>"17356560545"</f>
        <v>17356560545</v>
      </c>
      <c r="AA123" t="str">
        <f>"安徽省合肥市瑶海区龙腾花园"</f>
        <v>安徽省合肥市瑶海区龙腾花园</v>
      </c>
      <c r="AB123" t="str">
        <f>"2015.9-2018.6 肥东锦弘中学 学生；2018.9-2021.7 合肥幼儿示范高等专科学校 学生；2021.9-2023.6 黄山学院 学生"</f>
        <v>2015.9-2018.6 肥东锦弘中学 学生；2018.9-2021.7 合肥幼儿示范高等专科学校 学生；2021.9-2023.6 黄山学院 学生</v>
      </c>
      <c r="AC123" t="str">
        <f>"校三等奖学金，多次获得“优秀志愿者”称号、荣获校“十佳榜样学子”"</f>
        <v>校三等奖学金，多次获得“优秀志愿者”称号、荣获校“十佳榜样学子”</v>
      </c>
      <c r="AD123" t="str">
        <f>"绘画，钢琴，声乐，舞蹈等基本技能"</f>
        <v>绘画，钢琴，声乐，舞蹈等基本技能</v>
      </c>
      <c r="AE123" t="str">
        <f>"父女|宣圣宏|龙岗经济开发区社区卫生服务中心||母女|许俊梅|无|无|姐弟|宣子焓||学生"</f>
        <v>父女|宣圣宏|龙岗经济开发区社区卫生服务中心||母女|许俊梅|无|无|姐弟|宣子焓||学生</v>
      </c>
      <c r="AF123" s="2">
        <v>44985.54515046296</v>
      </c>
      <c r="AG123">
        <v>1</v>
      </c>
      <c r="AH123">
        <v>1</v>
      </c>
      <c r="AI123">
        <v>0</v>
      </c>
      <c r="AJ123" t="s">
        <v>164</v>
      </c>
      <c r="AK123" s="4">
        <v>62.4</v>
      </c>
      <c r="AL123" s="4">
        <v>62</v>
      </c>
      <c r="AM123" s="4">
        <v>62.2</v>
      </c>
      <c r="AN123">
        <v>0</v>
      </c>
    </row>
    <row r="124" spans="1:40" ht="18" customHeight="1">
      <c r="A124" t="str">
        <f>"141720230227214836340614"</f>
        <v>141720230227214836340614</v>
      </c>
      <c r="B124" t="s">
        <v>44</v>
      </c>
      <c r="C124" t="str">
        <f>"鲍蕊"</f>
        <v>鲍蕊</v>
      </c>
      <c r="D124" t="str">
        <f t="shared" si="41"/>
        <v>女</v>
      </c>
      <c r="E124" t="str">
        <f>"1993-06"</f>
        <v>1993-06</v>
      </c>
      <c r="F124" t="str">
        <f>"安徽寿县"</f>
        <v>安徽寿县</v>
      </c>
      <c r="G124" t="str">
        <f t="shared" si="48"/>
        <v>汉族</v>
      </c>
      <c r="H124" t="str">
        <f>"群众"</f>
        <v>群众</v>
      </c>
      <c r="I124" t="str">
        <f>"342422199306290161"</f>
        <v>342422199306290161</v>
      </c>
      <c r="J124" t="str">
        <f>"已婚"</f>
        <v>已婚</v>
      </c>
      <c r="K124" t="str">
        <f>"本科"</f>
        <v>本科</v>
      </c>
      <c r="L124" t="str">
        <f>"专科"</f>
        <v>专科</v>
      </c>
      <c r="M124" t="str">
        <f>"学前教育"</f>
        <v>学前教育</v>
      </c>
      <c r="N124" t="str">
        <f>"安徽师范大学"</f>
        <v>安徽师范大学</v>
      </c>
      <c r="O124" t="str">
        <f>"2018-07"</f>
        <v>2018-07</v>
      </c>
      <c r="P124" t="str">
        <f>"专科"</f>
        <v>专科</v>
      </c>
      <c r="Q124" t="str">
        <f>"专科"</f>
        <v>专科</v>
      </c>
      <c r="R124" t="str">
        <f t="shared" si="49"/>
        <v>学前教育</v>
      </c>
      <c r="S124" t="str">
        <f>"马鞍山师范高等专科学校"</f>
        <v>马鞍山师范高等专科学校</v>
      </c>
      <c r="T124" t="str">
        <f>"2014-06"</f>
        <v>2014-06</v>
      </c>
      <c r="U124" t="str">
        <f>"幼儿园教师资格证、高级育婴师证"</f>
        <v>幼儿园教师资格证、高级育婴师证</v>
      </c>
      <c r="V124" t="str">
        <f>"9年"</f>
        <v>9年</v>
      </c>
      <c r="W124" t="str">
        <f t="shared" si="47"/>
        <v>无</v>
      </c>
      <c r="X124" t="str">
        <f t="shared" si="40"/>
        <v>是</v>
      </c>
      <c r="Y124" t="str">
        <f>"无"</f>
        <v>无</v>
      </c>
      <c r="Z124" t="str">
        <f>"18256970490"</f>
        <v>18256970490</v>
      </c>
      <c r="AA124" t="str">
        <f>"安徽蜀山区五里墩街道中铁青秀城16栋"</f>
        <v>安徽蜀山区五里墩街道中铁青秀城16栋</v>
      </c>
      <c r="AB124" t="str">
        <f>"2008.9-2011.6 寿县第一中学学生；2011.9-2014.6 马鞍山师范高等专科学校学生；2014.7-2015.6 合肥明星幼教集团员工；2015.7-2017.4 合肥包河区幸福天使幼儿园员工；2017.8-2022.11 上海宝山区叮咚幼稚园员工"</f>
        <v>2008.9-2011.6 寿县第一中学学生；2011.9-2014.6 马鞍山师范高等专科学校学生；2014.7-2015.6 合肥明星幼教集团员工；2015.7-2017.4 合肥包河区幸福天使幼儿园员工；2017.8-2022.11 上海宝山区叮咚幼稚园员工</v>
      </c>
      <c r="AC124" t="str">
        <f>"无"</f>
        <v>无</v>
      </c>
      <c r="AD124" t="str">
        <f>"无"</f>
        <v>无</v>
      </c>
      <c r="AE124" t="str">
        <f>"夫妻|王猛|长城汽车|开发工程师|母子|王弋川|无|无||||"</f>
        <v>夫妻|王猛|长城汽车|开发工程师|母子|王弋川|无|无||||</v>
      </c>
      <c r="AF124" s="2">
        <v>44986.37375</v>
      </c>
      <c r="AG124">
        <v>1</v>
      </c>
      <c r="AH124">
        <v>1</v>
      </c>
      <c r="AI124">
        <v>0</v>
      </c>
      <c r="AJ124" t="s">
        <v>165</v>
      </c>
      <c r="AK124" s="4">
        <v>63.5</v>
      </c>
      <c r="AL124" s="4">
        <v>62.1</v>
      </c>
      <c r="AM124" s="4">
        <v>62.8</v>
      </c>
      <c r="AN124">
        <v>0</v>
      </c>
    </row>
    <row r="125" spans="1:40" ht="18" customHeight="1">
      <c r="A125" t="str">
        <f>"141720230227215911340615"</f>
        <v>141720230227215911340615</v>
      </c>
      <c r="B125" t="s">
        <v>44</v>
      </c>
      <c r="C125" t="str">
        <f>"江晔晔"</f>
        <v>江晔晔</v>
      </c>
      <c r="D125" t="str">
        <f t="shared" si="41"/>
        <v>女</v>
      </c>
      <c r="E125" t="str">
        <f>"1996-5"</f>
        <v>1996-5</v>
      </c>
      <c r="F125" t="str">
        <f>"安徽省淮南市寿县寿春镇南关村"</f>
        <v>安徽省淮南市寿县寿春镇南关村</v>
      </c>
      <c r="G125" t="str">
        <f t="shared" si="48"/>
        <v>汉族</v>
      </c>
      <c r="H125" t="str">
        <f>"中共党员"</f>
        <v>中共党员</v>
      </c>
      <c r="I125" t="str">
        <f>"342422199605230361"</f>
        <v>342422199605230361</v>
      </c>
      <c r="J125" t="str">
        <f aca="true" t="shared" si="50" ref="J125:J131">"未婚"</f>
        <v>未婚</v>
      </c>
      <c r="K125" t="str">
        <f>"本科"</f>
        <v>本科</v>
      </c>
      <c r="L125" t="str">
        <f>"学士"</f>
        <v>学士</v>
      </c>
      <c r="M125" t="str">
        <f>"教育系（学前教育）"</f>
        <v>教育系（学前教育）</v>
      </c>
      <c r="N125" t="str">
        <f>"淮北师范大学信息学院"</f>
        <v>淮北师范大学信息学院</v>
      </c>
      <c r="O125" t="str">
        <f>"2020.06"</f>
        <v>2020.06</v>
      </c>
      <c r="P125" t="str">
        <f>"本科"</f>
        <v>本科</v>
      </c>
      <c r="Q125" t="str">
        <f>"学前教育"</f>
        <v>学前教育</v>
      </c>
      <c r="R125" t="str">
        <f t="shared" si="49"/>
        <v>学前教育</v>
      </c>
      <c r="S125" t="str">
        <f>"淮北师范大学信息学院"</f>
        <v>淮北师范大学信息学院</v>
      </c>
      <c r="T125" t="str">
        <f>"2020年6月"</f>
        <v>2020年6月</v>
      </c>
      <c r="U125" t="str">
        <f>"幼儿园教师资格证"</f>
        <v>幼儿园教师资格证</v>
      </c>
      <c r="V125" t="str">
        <f>"2"</f>
        <v>2</v>
      </c>
      <c r="W125" t="str">
        <f t="shared" si="47"/>
        <v>无</v>
      </c>
      <c r="X125" t="str">
        <f t="shared" si="40"/>
        <v>是</v>
      </c>
      <c r="Y125" t="str">
        <f>"淮北市直机关第一幼儿园国购分园"</f>
        <v>淮北市直机关第一幼儿园国购分园</v>
      </c>
      <c r="Z125" t="str">
        <f>"17856105630"</f>
        <v>17856105630</v>
      </c>
      <c r="AA125" t="str">
        <f>"安徽省淮北市相山区东山路国购心城东区10栋1单元1203室"</f>
        <v>安徽省淮北市相山区东山路国购心城东区10栋1单元1203室</v>
      </c>
      <c r="AB125" s="1" t="str">
        <f>"2012.9-2016.6 寿县中学 学生；
2016.9-2020.06淮北师范大学信息学院 学生；
2020.02-2020.12 中国科学技术大学幼儿园；
2022.02-至今 淮北市直机关第一幼儿园
"</f>
        <v>2012.9-2016.6 寿县中学 学生；
2016.9-2020.06淮北师范大学信息学院 学生；
2020.02-2020.12 中国科学技术大学幼儿园；
2022.02-至今 淮北市直机关第一幼儿园
</v>
      </c>
      <c r="AC125" t="str">
        <f>"在校期间多次获得“国家励志奖学金”、“优秀学生一等奖学金”、“优秀学生干部”，“院级双优生”“优秀学生干部”、“学生干部社会工作优秀单项奖”、“优秀共青团干部”、“三好学生”、“优秀共青团员”等荣誉称号。"</f>
        <v>在校期间多次获得“国家励志奖学金”、“优秀学生一等奖学金”、“优秀学生干部”，“院级双优生”“优秀学生干部”、“学生干部社会工作优秀单项奖”、“优秀共青团干部”、“三好学生”、“优秀共青团员”等荣誉称号。</v>
      </c>
      <c r="AD125" t="str">
        <f>"声乐八级"</f>
        <v>声乐八级</v>
      </c>
      <c r="AE125" t="str">
        <f>"父亲|江怀|安徽寿县|务农|母亲|徐守淑|安徽寿县|务农|姊妹|江媛媛|安徽中医药大学|学生"</f>
        <v>父亲|江怀|安徽寿县|务农|母亲|徐守淑|安徽寿县|务农|姊妹|江媛媛|安徽中医药大学|学生</v>
      </c>
      <c r="AF125" s="2">
        <v>44987.56553240741</v>
      </c>
      <c r="AG125">
        <v>1</v>
      </c>
      <c r="AH125">
        <v>1</v>
      </c>
      <c r="AI125">
        <v>0</v>
      </c>
      <c r="AJ125" t="s">
        <v>166</v>
      </c>
      <c r="AK125" s="4" t="s">
        <v>264</v>
      </c>
      <c r="AL125" s="4" t="s">
        <v>264</v>
      </c>
      <c r="AM125" s="4" t="s">
        <v>264</v>
      </c>
      <c r="AN125">
        <v>0</v>
      </c>
    </row>
    <row r="126" spans="1:40" ht="18" customHeight="1">
      <c r="A126" t="str">
        <f>"141720230227220143340617"</f>
        <v>141720230227220143340617</v>
      </c>
      <c r="B126" t="s">
        <v>44</v>
      </c>
      <c r="C126" t="str">
        <f>"吕慧敏"</f>
        <v>吕慧敏</v>
      </c>
      <c r="D126" t="str">
        <f t="shared" si="41"/>
        <v>女</v>
      </c>
      <c r="E126" t="str">
        <f>"1999-01"</f>
        <v>1999-01</v>
      </c>
      <c r="F126" t="str">
        <f>"徽马鞍山"</f>
        <v>徽马鞍山</v>
      </c>
      <c r="G126" t="str">
        <f t="shared" si="48"/>
        <v>汉族</v>
      </c>
      <c r="H126" t="str">
        <f aca="true" t="shared" si="51" ref="H126:H131">"共青团员"</f>
        <v>共青团员</v>
      </c>
      <c r="I126" t="str">
        <f>"342625199901221988"</f>
        <v>342625199901221988</v>
      </c>
      <c r="J126" t="str">
        <f t="shared" si="50"/>
        <v>未婚</v>
      </c>
      <c r="K126" t="str">
        <f>"本科"</f>
        <v>本科</v>
      </c>
      <c r="L126" t="str">
        <f>"学士学位"</f>
        <v>学士学位</v>
      </c>
      <c r="M126" t="str">
        <f>"学前教育"</f>
        <v>学前教育</v>
      </c>
      <c r="N126" t="str">
        <f>"青岛黄海学院"</f>
        <v>青岛黄海学院</v>
      </c>
      <c r="O126" t="str">
        <f>"2022.06"</f>
        <v>2022.06</v>
      </c>
      <c r="P126" t="str">
        <f>"本科"</f>
        <v>本科</v>
      </c>
      <c r="Q126" t="str">
        <f>"学士学位"</f>
        <v>学士学位</v>
      </c>
      <c r="R126" t="str">
        <f t="shared" si="49"/>
        <v>学前教育</v>
      </c>
      <c r="S126" t="str">
        <f>"青岛黄海学院"</f>
        <v>青岛黄海学院</v>
      </c>
      <c r="T126" t="str">
        <f>"2022.06"</f>
        <v>2022.06</v>
      </c>
      <c r="U126" t="str">
        <f>"幼儿园教师资格证"</f>
        <v>幼儿园教师资格证</v>
      </c>
      <c r="V126" t="str">
        <f>"无"</f>
        <v>无</v>
      </c>
      <c r="W126" t="str">
        <f t="shared" si="47"/>
        <v>无</v>
      </c>
      <c r="X126" t="str">
        <f t="shared" si="40"/>
        <v>是</v>
      </c>
      <c r="Y126" t="str">
        <f>"无"</f>
        <v>无</v>
      </c>
      <c r="Z126" t="str">
        <f>"18315560145"</f>
        <v>18315560145</v>
      </c>
      <c r="AA126" t="str">
        <f>"安徽省马鞍山市含山县西苑小区"</f>
        <v>安徽省马鞍山市含山县西苑小区</v>
      </c>
      <c r="AB126" s="1" t="str">
        <f>"2014.09-2017.06安徽省马鞍山市含山第二中学
2017.09-2018.06安徽省马鞍山市含山县含山中学
2018.09-2022.06山东省青岛市黄岛区青岛黄海学院
2022.09-至今 待业"</f>
        <v>2014.09-2017.06安徽省马鞍山市含山第二中学
2017.09-2018.06安徽省马鞍山市含山县含山中学
2018.09-2022.06山东省青岛市黄岛区青岛黄海学院
2022.09-至今 待业</v>
      </c>
      <c r="AC126" t="str">
        <f aca="true" t="shared" si="52" ref="AC126:AC136">"无"</f>
        <v>无</v>
      </c>
      <c r="AD126" t="str">
        <f>"手工"</f>
        <v>手工</v>
      </c>
      <c r="AE126" t="str">
        <f>"父亲|吕礼润|个体|无|母亲|司友霞|个体|无|妹妹|吕诗洁|安庆医药高等专科学校|学生"</f>
        <v>父亲|吕礼润|个体|无|母亲|司友霞|个体|无|妹妹|吕诗洁|安庆医药高等专科学校|学生</v>
      </c>
      <c r="AF126" s="2">
        <v>44985.544444444444</v>
      </c>
      <c r="AG126">
        <v>1</v>
      </c>
      <c r="AH126">
        <v>1</v>
      </c>
      <c r="AI126">
        <v>0</v>
      </c>
      <c r="AJ126" t="s">
        <v>167</v>
      </c>
      <c r="AK126" s="4">
        <v>68.7</v>
      </c>
      <c r="AL126" s="4">
        <v>56.6</v>
      </c>
      <c r="AM126" s="4">
        <v>62.650000000000006</v>
      </c>
      <c r="AN126">
        <v>0</v>
      </c>
    </row>
    <row r="127" spans="1:40" ht="18" customHeight="1">
      <c r="A127" t="str">
        <f>"141720230227223918340622"</f>
        <v>141720230227223918340622</v>
      </c>
      <c r="B127" t="s">
        <v>44</v>
      </c>
      <c r="C127" t="str">
        <f>"王梦雅"</f>
        <v>王梦雅</v>
      </c>
      <c r="D127" t="str">
        <f t="shared" si="41"/>
        <v>女</v>
      </c>
      <c r="E127" t="str">
        <f>"2002-7"</f>
        <v>2002-7</v>
      </c>
      <c r="F127" t="str">
        <f>"安徽省阜阳市颍州区"</f>
        <v>安徽省阜阳市颍州区</v>
      </c>
      <c r="G127" t="str">
        <f t="shared" si="48"/>
        <v>汉族</v>
      </c>
      <c r="H127" t="str">
        <f t="shared" si="51"/>
        <v>共青团员</v>
      </c>
      <c r="I127" t="str">
        <f>"341202200207163528"</f>
        <v>341202200207163528</v>
      </c>
      <c r="J127" t="str">
        <f t="shared" si="50"/>
        <v>未婚</v>
      </c>
      <c r="K127" t="str">
        <f>"大专"</f>
        <v>大专</v>
      </c>
      <c r="L127" t="str">
        <f>"无"</f>
        <v>无</v>
      </c>
      <c r="M127" t="str">
        <f>"学前教育"</f>
        <v>学前教育</v>
      </c>
      <c r="N127" t="str">
        <f>"合肥幼儿师范高等专科学校"</f>
        <v>合肥幼儿师范高等专科学校</v>
      </c>
      <c r="O127" t="str">
        <f>"2023"</f>
        <v>2023</v>
      </c>
      <c r="P127" t="str">
        <f>"专科"</f>
        <v>专科</v>
      </c>
      <c r="Q127" t="str">
        <f>"专科1"</f>
        <v>专科1</v>
      </c>
      <c r="R127" t="str">
        <f t="shared" si="49"/>
        <v>学前教育</v>
      </c>
      <c r="S127" t="str">
        <f>"合肥幼儿师范高等专科学校"</f>
        <v>合肥幼儿师范高等专科学校</v>
      </c>
      <c r="T127" t="str">
        <f>"2023"</f>
        <v>2023</v>
      </c>
      <c r="U127" t="str">
        <f>"教师资格证"</f>
        <v>教师资格证</v>
      </c>
      <c r="V127" t="str">
        <f>"无"</f>
        <v>无</v>
      </c>
      <c r="W127" t="str">
        <f t="shared" si="47"/>
        <v>无</v>
      </c>
      <c r="X127" t="str">
        <f t="shared" si="40"/>
        <v>是</v>
      </c>
      <c r="Y127" t="str">
        <f>"合肥幼儿师范高等专科学校"</f>
        <v>合肥幼儿师范高等专科学校</v>
      </c>
      <c r="Z127" t="str">
        <f>"19944577951"</f>
        <v>19944577951</v>
      </c>
      <c r="AA127" t="str">
        <f>"安徽省阜阳市"</f>
        <v>安徽省阜阳市</v>
      </c>
      <c r="AB127" s="1" t="str">
        <f>"2017～2020阜阳市第五中学
2020～2023合肥幼儿师范高等专科学校"</f>
        <v>2017～2020阜阳市第五中学
2020～2023合肥幼儿师范高等专科学校</v>
      </c>
      <c r="AC127" t="str">
        <f t="shared" si="52"/>
        <v>无</v>
      </c>
      <c r="AD127" t="str">
        <f>"喜欢画画，学了关于学前教育的五大领域课程"</f>
        <v>喜欢画画，学了关于学前教育的五大领域课程</v>
      </c>
      <c r="AE127" t="str">
        <f>"母亲|王艳|阜阳市颍州区高棚小学|教师||||||||"</f>
        <v>母亲|王艳|阜阳市颍州区高棚小学|教师||||||||</v>
      </c>
      <c r="AF127" s="2">
        <v>44987.38836805556</v>
      </c>
      <c r="AG127">
        <v>1</v>
      </c>
      <c r="AH127">
        <v>1</v>
      </c>
      <c r="AI127">
        <v>0</v>
      </c>
      <c r="AJ127" t="s">
        <v>168</v>
      </c>
      <c r="AK127" s="4" t="s">
        <v>264</v>
      </c>
      <c r="AL127" s="4" t="s">
        <v>264</v>
      </c>
      <c r="AM127" s="4" t="s">
        <v>264</v>
      </c>
      <c r="AN127">
        <v>0</v>
      </c>
    </row>
    <row r="128" spans="1:40" ht="18" customHeight="1">
      <c r="A128" t="str">
        <f>"141720230227230153340625"</f>
        <v>141720230227230153340625</v>
      </c>
      <c r="B128" t="s">
        <v>44</v>
      </c>
      <c r="C128" t="str">
        <f>"刘慧慧"</f>
        <v>刘慧慧</v>
      </c>
      <c r="D128" t="str">
        <f t="shared" si="41"/>
        <v>女</v>
      </c>
      <c r="E128" t="str">
        <f>"1992-06"</f>
        <v>1992-06</v>
      </c>
      <c r="F128" t="str">
        <f>"安徽颍州区"</f>
        <v>安徽颍州区</v>
      </c>
      <c r="G128" t="str">
        <f t="shared" si="48"/>
        <v>汉族</v>
      </c>
      <c r="H128" t="str">
        <f t="shared" si="51"/>
        <v>共青团员</v>
      </c>
      <c r="I128" t="str">
        <f>"341225199206142329"</f>
        <v>341225199206142329</v>
      </c>
      <c r="J128" t="str">
        <f t="shared" si="50"/>
        <v>未婚</v>
      </c>
      <c r="K128" t="str">
        <f>"本科"</f>
        <v>本科</v>
      </c>
      <c r="L128" t="str">
        <f>"无"</f>
        <v>无</v>
      </c>
      <c r="M128" t="str">
        <f>"学前教育"</f>
        <v>学前教育</v>
      </c>
      <c r="N128" t="str">
        <f>"合肥学院"</f>
        <v>合肥学院</v>
      </c>
      <c r="O128" t="str">
        <f>"2017-7"</f>
        <v>2017-7</v>
      </c>
      <c r="P128" t="str">
        <f>"大专"</f>
        <v>大专</v>
      </c>
      <c r="Q128" t="str">
        <f>"无"</f>
        <v>无</v>
      </c>
      <c r="R128" t="str">
        <f>"初等教育"</f>
        <v>初等教育</v>
      </c>
      <c r="S128" t="str">
        <f>"合肥学院"</f>
        <v>合肥学院</v>
      </c>
      <c r="T128" t="str">
        <f>"2014-7"</f>
        <v>2014-7</v>
      </c>
      <c r="U128" t="str">
        <f>"教师资格证书（幼儿园），普通话水平测试二级甲等证书，育婴师证书，儿童画五级证书，中国舞三级证书。"</f>
        <v>教师资格证书（幼儿园），普通话水平测试二级甲等证书，育婴师证书，儿童画五级证书，中国舞三级证书。</v>
      </c>
      <c r="V128" t="str">
        <f>"6"</f>
        <v>6</v>
      </c>
      <c r="W128" t="str">
        <f t="shared" si="47"/>
        <v>无</v>
      </c>
      <c r="X128" t="str">
        <f>"否"</f>
        <v>否</v>
      </c>
      <c r="Y128" t="str">
        <f>"中国电信"</f>
        <v>中国电信</v>
      </c>
      <c r="Z128" t="str">
        <f>"无"</f>
        <v>无</v>
      </c>
      <c r="AA128" t="str">
        <f>"安徽省阜阳市颍州区袁集镇"</f>
        <v>安徽省阜阳市颍州区袁集镇</v>
      </c>
      <c r="AB128" s="1" t="s">
        <v>52</v>
      </c>
      <c r="AC128" t="str">
        <f t="shared" si="52"/>
        <v>无</v>
      </c>
      <c r="AD128" t="str">
        <f>"弹琴，舞蹈。"</f>
        <v>弹琴，舞蹈。</v>
      </c>
      <c r="AE128" t="str">
        <f>"姐弟|刘争元|无|学生|父女|刘润根|无|务农|母女|韩霞|无|无"</f>
        <v>姐弟|刘争元|无|学生|父女|刘润根|无|务农|母女|韩霞|无|无</v>
      </c>
      <c r="AF128" s="2">
        <v>44986.62021990741</v>
      </c>
      <c r="AG128">
        <v>1</v>
      </c>
      <c r="AH128">
        <v>1</v>
      </c>
      <c r="AI128">
        <v>0</v>
      </c>
      <c r="AJ128" t="s">
        <v>169</v>
      </c>
      <c r="AK128" s="4" t="s">
        <v>264</v>
      </c>
      <c r="AL128" s="4" t="s">
        <v>264</v>
      </c>
      <c r="AM128" s="4" t="s">
        <v>264</v>
      </c>
      <c r="AN128">
        <v>0</v>
      </c>
    </row>
    <row r="129" spans="1:40" ht="18" customHeight="1">
      <c r="A129" t="str">
        <f>"141720230227233148340628"</f>
        <v>141720230227233148340628</v>
      </c>
      <c r="B129" t="s">
        <v>44</v>
      </c>
      <c r="C129" t="str">
        <f>"江云杰"</f>
        <v>江云杰</v>
      </c>
      <c r="D129" t="str">
        <f t="shared" si="41"/>
        <v>女</v>
      </c>
      <c r="E129" t="str">
        <f>"2000—02"</f>
        <v>2000—02</v>
      </c>
      <c r="F129" t="str">
        <f>"安徽省淮南市"</f>
        <v>安徽省淮南市</v>
      </c>
      <c r="G129" t="str">
        <f t="shared" si="48"/>
        <v>汉族</v>
      </c>
      <c r="H129" t="str">
        <f t="shared" si="51"/>
        <v>共青团员</v>
      </c>
      <c r="I129" t="str">
        <f>"342422200002091740"</f>
        <v>342422200002091740</v>
      </c>
      <c r="J129" t="str">
        <f t="shared" si="50"/>
        <v>未婚</v>
      </c>
      <c r="K129" t="str">
        <f>"大专"</f>
        <v>大专</v>
      </c>
      <c r="L129" t="str">
        <f>"无"</f>
        <v>无</v>
      </c>
      <c r="M129" t="str">
        <f>"学前教育"</f>
        <v>学前教育</v>
      </c>
      <c r="N129" t="str">
        <f>"池州职业技术学院"</f>
        <v>池州职业技术学院</v>
      </c>
      <c r="O129" t="str">
        <f>"2022、6、30"</f>
        <v>2022、6、30</v>
      </c>
      <c r="P129" t="str">
        <f>"大专"</f>
        <v>大专</v>
      </c>
      <c r="Q129" t="str">
        <f>"无"</f>
        <v>无</v>
      </c>
      <c r="R129" t="str">
        <f>"学前教育"</f>
        <v>学前教育</v>
      </c>
      <c r="S129" t="str">
        <f>"池州职业技术学院"</f>
        <v>池州职业技术学院</v>
      </c>
      <c r="T129" t="str">
        <f>"2022、6、30"</f>
        <v>2022、6、30</v>
      </c>
      <c r="U129" t="str">
        <f>"幼儿教师资格证书"</f>
        <v>幼儿教师资格证书</v>
      </c>
      <c r="V129" t="str">
        <f>"两年"</f>
        <v>两年</v>
      </c>
      <c r="W129" t="str">
        <f t="shared" si="47"/>
        <v>无</v>
      </c>
      <c r="X129" t="str">
        <f>"是"</f>
        <v>是</v>
      </c>
      <c r="Y129" t="str">
        <f>"合肥龙凤嘉园幼儿园"</f>
        <v>合肥龙凤嘉园幼儿园</v>
      </c>
      <c r="Z129" t="str">
        <f>"18725548235"</f>
        <v>18725548235</v>
      </c>
      <c r="AA129" t="str">
        <f>"合肥瑶海区经商商贸城K区"</f>
        <v>合肥瑶海区经商商贸城K区</v>
      </c>
      <c r="AB129" s="1" t="str">
        <f>"2016、9—2019、6寿县第二中学 
2019、9—2022、6池州职业技术学院
2021.6-2022.6合肥和谐花园幼儿园
2022.9—至今合肥龙凤嘉园幼儿园
"</f>
        <v>2016、9—2019、6寿县第二中学 
2019、9—2022、6池州职业技术学院
2021.6-2022.6合肥和谐花园幼儿园
2022.9—至今合肥龙凤嘉园幼儿园
</v>
      </c>
      <c r="AC129" t="str">
        <f t="shared" si="52"/>
        <v>无</v>
      </c>
      <c r="AD129" t="str">
        <f>"唱歌 听歌 看书 画画"</f>
        <v>唱歌 听歌 看书 画画</v>
      </c>
      <c r="AE129" t="str">
        <f>"父女|江永生|上海师范大学|后勤|母女|周德芳|上海师范大学|后勤|姐弟|江昌鱼|寿县第一中学|学生"</f>
        <v>父女|江永生|上海师范大学|后勤|母女|周德芳|上海师范大学|后勤|姐弟|江昌鱼|寿县第一中学|学生</v>
      </c>
      <c r="AF129" s="2">
        <v>44985.54686342592</v>
      </c>
      <c r="AG129">
        <v>1</v>
      </c>
      <c r="AH129">
        <v>1</v>
      </c>
      <c r="AI129">
        <v>0</v>
      </c>
      <c r="AJ129" t="s">
        <v>170</v>
      </c>
      <c r="AK129" s="4" t="s">
        <v>264</v>
      </c>
      <c r="AL129" s="4" t="s">
        <v>264</v>
      </c>
      <c r="AM129" s="4" t="s">
        <v>264</v>
      </c>
      <c r="AN129">
        <v>0</v>
      </c>
    </row>
    <row r="130" spans="1:40" ht="18" customHeight="1">
      <c r="A130" t="str">
        <f>"141720230228015204340631"</f>
        <v>141720230228015204340631</v>
      </c>
      <c r="B130" t="s">
        <v>44</v>
      </c>
      <c r="C130" t="str">
        <f>"杨芳"</f>
        <v>杨芳</v>
      </c>
      <c r="D130" t="str">
        <f t="shared" si="41"/>
        <v>女</v>
      </c>
      <c r="E130" t="str">
        <f>"2000-12"</f>
        <v>2000-12</v>
      </c>
      <c r="F130" t="str">
        <f>"安徽省肥东县"</f>
        <v>安徽省肥东县</v>
      </c>
      <c r="G130" t="str">
        <f t="shared" si="48"/>
        <v>汉族</v>
      </c>
      <c r="H130" t="str">
        <f t="shared" si="51"/>
        <v>共青团员</v>
      </c>
      <c r="I130" t="str">
        <f>"340123200211010845"</f>
        <v>340123200211010845</v>
      </c>
      <c r="J130" t="str">
        <f t="shared" si="50"/>
        <v>未婚</v>
      </c>
      <c r="K130" t="str">
        <f>"本科"</f>
        <v>本科</v>
      </c>
      <c r="L130" t="str">
        <f>"本科"</f>
        <v>本科</v>
      </c>
      <c r="M130" t="str">
        <f>"学前教育"</f>
        <v>学前教育</v>
      </c>
      <c r="N130" t="str">
        <f>"池州学院"</f>
        <v>池州学院</v>
      </c>
      <c r="O130" t="str">
        <f>"2022年7月"</f>
        <v>2022年7月</v>
      </c>
      <c r="P130" t="str">
        <f>"本科"</f>
        <v>本科</v>
      </c>
      <c r="Q130" t="str">
        <f>"本科"</f>
        <v>本科</v>
      </c>
      <c r="R130" t="str">
        <f>"学前教育"</f>
        <v>学前教育</v>
      </c>
      <c r="S130" t="str">
        <f>"池州学院"</f>
        <v>池州学院</v>
      </c>
      <c r="T130" t="str">
        <f>"2022年7月"</f>
        <v>2022年7月</v>
      </c>
      <c r="U130" t="str">
        <f>"有幼儿园教师资格证"</f>
        <v>有幼儿园教师资格证</v>
      </c>
      <c r="V130" t="str">
        <f>"无"</f>
        <v>无</v>
      </c>
      <c r="W130" t="str">
        <f t="shared" si="47"/>
        <v>无</v>
      </c>
      <c r="X130" t="str">
        <f>"是"</f>
        <v>是</v>
      </c>
      <c r="Y130" t="str">
        <f>"无"</f>
        <v>无</v>
      </c>
      <c r="Z130" t="str">
        <f>"17352918823"</f>
        <v>17352918823</v>
      </c>
      <c r="AA130" t="str">
        <f>"安徽省合肥市肥东县风景御园"</f>
        <v>安徽省合肥市肥东县风景御园</v>
      </c>
      <c r="AB130" s="1" t="str">
        <f>"2015.9—2018.6 圣泉中学 学生
2018.9—2022.7 池州学院 学生"</f>
        <v>2015.9—2018.6 圣泉中学 学生
2018.9—2022.7 池州学院 学生</v>
      </c>
      <c r="AC130" t="str">
        <f t="shared" si="52"/>
        <v>无</v>
      </c>
      <c r="AD130" t="str">
        <f>"钢琴弹唱、手工"</f>
        <v>钢琴弹唱、手工</v>
      </c>
      <c r="AE130" t="str">
        <f>"父女|杨家兵|无|个体商户|母女|杨珍|无|无|姐弟|杨杰|无|学生"</f>
        <v>父女|杨家兵|无|个体商户|母女|杨珍|无|无|姐弟|杨杰|无|学生</v>
      </c>
      <c r="AF130" s="2">
        <v>44985.547106481485</v>
      </c>
      <c r="AG130">
        <v>1</v>
      </c>
      <c r="AH130">
        <v>1</v>
      </c>
      <c r="AI130">
        <v>0</v>
      </c>
      <c r="AJ130" t="s">
        <v>171</v>
      </c>
      <c r="AK130" s="4" t="s">
        <v>264</v>
      </c>
      <c r="AL130" s="4" t="s">
        <v>264</v>
      </c>
      <c r="AM130" s="4" t="s">
        <v>264</v>
      </c>
      <c r="AN130">
        <v>0</v>
      </c>
    </row>
    <row r="131" spans="1:40" ht="18" customHeight="1">
      <c r="A131" t="str">
        <f>"141720230228090652340641"</f>
        <v>141720230228090652340641</v>
      </c>
      <c r="B131" t="s">
        <v>44</v>
      </c>
      <c r="C131" t="str">
        <f>"张伟"</f>
        <v>张伟</v>
      </c>
      <c r="D131" t="str">
        <f t="shared" si="41"/>
        <v>女</v>
      </c>
      <c r="E131" t="str">
        <f>"1995-3"</f>
        <v>1995-3</v>
      </c>
      <c r="F131" t="str">
        <f>"安徽庐阳区"</f>
        <v>安徽庐阳区</v>
      </c>
      <c r="G131" t="str">
        <f>"少数民族"</f>
        <v>少数民族</v>
      </c>
      <c r="H131" t="str">
        <f t="shared" si="51"/>
        <v>共青团员</v>
      </c>
      <c r="I131" t="str">
        <f>"340103199503232545"</f>
        <v>340103199503232545</v>
      </c>
      <c r="J131" t="str">
        <f t="shared" si="50"/>
        <v>未婚</v>
      </c>
      <c r="K131" t="str">
        <f>"大学专科"</f>
        <v>大学专科</v>
      </c>
      <c r="L131" t="str">
        <f>"大学专科"</f>
        <v>大学专科</v>
      </c>
      <c r="M131" t="str">
        <f>"学前教育（英语方向）"</f>
        <v>学前教育（英语方向）</v>
      </c>
      <c r="N131" t="str">
        <f>"合肥幼儿师范高等专科学院"</f>
        <v>合肥幼儿师范高等专科学院</v>
      </c>
      <c r="O131" t="str">
        <f>"2015年7月1日"</f>
        <v>2015年7月1日</v>
      </c>
      <c r="P131" t="str">
        <f>"大学专科"</f>
        <v>大学专科</v>
      </c>
      <c r="Q131" t="str">
        <f>"大学专科"</f>
        <v>大学专科</v>
      </c>
      <c r="R131" t="str">
        <f>"学前教育（英语方向）"</f>
        <v>学前教育（英语方向）</v>
      </c>
      <c r="S131" t="str">
        <f>"合肥幼儿师范高等专科学院"</f>
        <v>合肥幼儿师范高等专科学院</v>
      </c>
      <c r="T131" t="str">
        <f>"2015年7月1日"</f>
        <v>2015年7月1日</v>
      </c>
      <c r="U131" t="str">
        <f>"育婴师 幼儿教师资格证 普通话二级甲等证书 "</f>
        <v>育婴师 幼儿教师资格证 普通话二级甲等证书 </v>
      </c>
      <c r="V131" t="str">
        <f>"8年"</f>
        <v>8年</v>
      </c>
      <c r="W131" t="str">
        <f t="shared" si="47"/>
        <v>无</v>
      </c>
      <c r="X131" t="str">
        <f>"是"</f>
        <v>是</v>
      </c>
      <c r="Y131" t="str">
        <f>"庐阳区政府区委政法委"</f>
        <v>庐阳区政府区委政法委</v>
      </c>
      <c r="Z131" t="str">
        <f>"18255124929"</f>
        <v>18255124929</v>
      </c>
      <c r="AA131" t="str">
        <f>"庐阳区南国花园18栋"</f>
        <v>庐阳区南国花园18栋</v>
      </c>
      <c r="AB131" s="1" t="str">
        <f>"2015.7-2016.7合肥市宿州路幼儿园 实习老师
2016.9-2017.7 合肥市通和易居幼儿园 教师
2017.7-2022.7 合肥市公安局庐阳分局户政中心 辅警
2022.7-至今 庐阳区委政法委 职员"</f>
        <v>2015.7-2016.7合肥市宿州路幼儿园 实习老师
2016.9-2017.7 合肥市通和易居幼儿园 教师
2017.7-2022.7 合肥市公安局庐阳分局户政中心 辅警
2022.7-至今 庐阳区委政法委 职员</v>
      </c>
      <c r="AC131" t="str">
        <f t="shared" si="52"/>
        <v>无</v>
      </c>
      <c r="AD131" t="str">
        <f>"动手能力强 沟通能力强 性格开朗 爱采购"</f>
        <v>动手能力强 沟通能力强 性格开朗 爱采购</v>
      </c>
      <c r="AE131" t="str">
        <f>"父亲|张献华|退休||母亲|浦玉慧|个体户||姐姐|张苏皖|合肥市园上园小学|少年宫主任"</f>
        <v>父亲|张献华|退休||母亲|浦玉慧|个体户||姐姐|张苏皖|合肥市园上园小学|少年宫主任</v>
      </c>
      <c r="AF131" s="2">
        <v>44986.38182870371</v>
      </c>
      <c r="AG131">
        <v>1</v>
      </c>
      <c r="AH131">
        <v>1</v>
      </c>
      <c r="AI131">
        <v>0</v>
      </c>
      <c r="AJ131" t="s">
        <v>172</v>
      </c>
      <c r="AK131" s="4">
        <v>51.7</v>
      </c>
      <c r="AL131" s="4">
        <v>54.2</v>
      </c>
      <c r="AM131" s="4">
        <v>52.95</v>
      </c>
      <c r="AN131">
        <v>0</v>
      </c>
    </row>
    <row r="132" spans="1:40" ht="18" customHeight="1">
      <c r="A132" t="str">
        <f>"141720230228092720340644"</f>
        <v>141720230228092720340644</v>
      </c>
      <c r="B132" t="s">
        <v>44</v>
      </c>
      <c r="C132" t="str">
        <f>"郭云云"</f>
        <v>郭云云</v>
      </c>
      <c r="D132" t="str">
        <f t="shared" si="41"/>
        <v>女</v>
      </c>
      <c r="E132" t="str">
        <f>"1992-05"</f>
        <v>1992-05</v>
      </c>
      <c r="F132" t="str">
        <f>"安徽阜南县"</f>
        <v>安徽阜南县</v>
      </c>
      <c r="G132" t="str">
        <f aca="true" t="shared" si="53" ref="G132:G141">"汉族"</f>
        <v>汉族</v>
      </c>
      <c r="H132" t="str">
        <f>"群众"</f>
        <v>群众</v>
      </c>
      <c r="I132" t="str">
        <f>"341225199205117041"</f>
        <v>341225199205117041</v>
      </c>
      <c r="J132" t="str">
        <f>"已婚"</f>
        <v>已婚</v>
      </c>
      <c r="K132" t="str">
        <f>"本科"</f>
        <v>本科</v>
      </c>
      <c r="L132" t="str">
        <f>"无"</f>
        <v>无</v>
      </c>
      <c r="M132" t="str">
        <f>"学前教育"</f>
        <v>学前教育</v>
      </c>
      <c r="N132" t="str">
        <f>"安庆师范大学"</f>
        <v>安庆师范大学</v>
      </c>
      <c r="O132" t="str">
        <f>"2018.7"</f>
        <v>2018.7</v>
      </c>
      <c r="P132" t="str">
        <f>"专科"</f>
        <v>专科</v>
      </c>
      <c r="Q132" t="str">
        <f>"无"</f>
        <v>无</v>
      </c>
      <c r="R132" t="str">
        <f>"初等教育"</f>
        <v>初等教育</v>
      </c>
      <c r="S132" t="str">
        <f>"合肥学院"</f>
        <v>合肥学院</v>
      </c>
      <c r="T132" t="str">
        <f>"2013.7"</f>
        <v>2013.7</v>
      </c>
      <c r="U132" t="str">
        <f>"幼儿园教师资格证"</f>
        <v>幼儿园教师资格证</v>
      </c>
      <c r="V132" t="str">
        <f>"4"</f>
        <v>4</v>
      </c>
      <c r="W132" t="str">
        <f t="shared" si="47"/>
        <v>无</v>
      </c>
      <c r="X132" t="str">
        <f>"否"</f>
        <v>否</v>
      </c>
      <c r="Y132" t="str">
        <f>"公桥中心幼儿园"</f>
        <v>公桥中心幼儿园</v>
      </c>
      <c r="Z132" t="str">
        <f>"15556788385"</f>
        <v>15556788385</v>
      </c>
      <c r="AA132" t="str">
        <f>"安徽省阜南县药材公司家属院"</f>
        <v>安徽省阜南县药材公司家属院</v>
      </c>
      <c r="AB132" s="1" t="str">
        <f>"2007.9-2010.7  阜南二中    学生                                  2010.9-2013.7  合肥学院    学生                                    2013.9-2016.9  神马幼儿园  幼师                              2016.9-2018.7  安庆师范大学 学生                           2018.12-今    公桥中心幼儿园 幼师
"</f>
        <v>2007.9-2010.7  阜南二中    学生                                  2010.9-2013.7  合肥学院    学生                                    2013.9-2016.9  神马幼儿园  幼师                              2016.9-2018.7  安庆师范大学 学生                           2018.12-今    公桥中心幼儿园 幼师
</v>
      </c>
      <c r="AC132" t="str">
        <f t="shared" si="52"/>
        <v>无</v>
      </c>
      <c r="AD132" t="str">
        <f>"唱歌、跳舞"</f>
        <v>唱歌、跳舞</v>
      </c>
      <c r="AE132" t="str">
        <f>"父亲|郭之锋|务工|无|母亲|陈大允|务工|无||||"</f>
        <v>父亲|郭之锋|务工|无|母亲|陈大允|务工|无||||</v>
      </c>
      <c r="AF132" s="2">
        <v>44985.54855324074</v>
      </c>
      <c r="AG132">
        <v>1</v>
      </c>
      <c r="AH132">
        <v>1</v>
      </c>
      <c r="AI132">
        <v>0</v>
      </c>
      <c r="AJ132" t="s">
        <v>173</v>
      </c>
      <c r="AK132" s="4" t="s">
        <v>264</v>
      </c>
      <c r="AL132" s="4" t="s">
        <v>264</v>
      </c>
      <c r="AM132" s="4" t="s">
        <v>264</v>
      </c>
      <c r="AN132">
        <v>0</v>
      </c>
    </row>
    <row r="133" spans="1:40" ht="18" customHeight="1">
      <c r="A133" t="str">
        <f>"141720230228094706340646"</f>
        <v>141720230228094706340646</v>
      </c>
      <c r="B133" t="s">
        <v>44</v>
      </c>
      <c r="C133" t="str">
        <f>"丁光远"</f>
        <v>丁光远</v>
      </c>
      <c r="D133" t="str">
        <f t="shared" si="41"/>
        <v>女</v>
      </c>
      <c r="E133" t="str">
        <f>"1989-08"</f>
        <v>1989-08</v>
      </c>
      <c r="F133" t="str">
        <f>"安徽省六安市"</f>
        <v>安徽省六安市</v>
      </c>
      <c r="G133" t="str">
        <f t="shared" si="53"/>
        <v>汉族</v>
      </c>
      <c r="H133" t="str">
        <f>"群众"</f>
        <v>群众</v>
      </c>
      <c r="I133" t="str">
        <f>"342423198908190047"</f>
        <v>342423198908190047</v>
      </c>
      <c r="J133" t="str">
        <f>"已婚"</f>
        <v>已婚</v>
      </c>
      <c r="K133" t="str">
        <f>"本科"</f>
        <v>本科</v>
      </c>
      <c r="L133" t="str">
        <f>"本科"</f>
        <v>本科</v>
      </c>
      <c r="M133" t="str">
        <f>"教育管理"</f>
        <v>教育管理</v>
      </c>
      <c r="N133" t="str">
        <f>"安徽广播电视大学"</f>
        <v>安徽广播电视大学</v>
      </c>
      <c r="O133" t="str">
        <f>"2008.07"</f>
        <v>2008.07</v>
      </c>
      <c r="P133" t="str">
        <f>"大专"</f>
        <v>大专</v>
      </c>
      <c r="Q133" t="str">
        <f>"大专"</f>
        <v>大专</v>
      </c>
      <c r="R133" t="str">
        <f aca="true" t="shared" si="54" ref="R133:R140">"学前教育"</f>
        <v>学前教育</v>
      </c>
      <c r="S133" t="str">
        <f>"合肥幼儿师范"</f>
        <v>合肥幼儿师范</v>
      </c>
      <c r="T133" t="str">
        <f>"2003.06"</f>
        <v>2003.06</v>
      </c>
      <c r="U133" t="str">
        <f>"幼教"</f>
        <v>幼教</v>
      </c>
      <c r="V133" t="str">
        <f>"13"</f>
        <v>13</v>
      </c>
      <c r="W133" t="str">
        <f>"二级教师"</f>
        <v>二级教师</v>
      </c>
      <c r="X133" t="str">
        <f aca="true" t="shared" si="55" ref="X133:X139">"是"</f>
        <v>是</v>
      </c>
      <c r="Y133" t="str">
        <f>"无圣地雅阁幼儿园"</f>
        <v>无圣地雅阁幼儿园</v>
      </c>
      <c r="Z133" t="str">
        <f>"13696524352"</f>
        <v>13696524352</v>
      </c>
      <c r="AA133" t="str">
        <f>"瑶海区恒大城"</f>
        <v>瑶海区恒大城</v>
      </c>
      <c r="AB133" s="1" t="str">
        <f>"2003年-2008年 合肥幼儿师范 大专 5年                                 
2008年-2012年 安徽广播电视大学 本科 3年
2008年-2013年 创和幼教  6年"</f>
        <v>2003年-2008年 合肥幼儿师范 大专 5年                                 
2008年-2012年 安徽广播电视大学 本科 3年
2008年-2013年 创和幼教  6年</v>
      </c>
      <c r="AC133" t="str">
        <f t="shared" si="52"/>
        <v>无</v>
      </c>
      <c r="AD133" t="str">
        <f>"钢琴"</f>
        <v>钢琴</v>
      </c>
      <c r="AE133" t="str">
        <f>"丈夫|王松乐|科大国创|员工||||||||"</f>
        <v>丈夫|王松乐|科大国创|员工||||||||</v>
      </c>
      <c r="AF133" s="2">
        <v>44986.41585648148</v>
      </c>
      <c r="AG133">
        <v>1</v>
      </c>
      <c r="AH133">
        <v>1</v>
      </c>
      <c r="AI133">
        <v>0</v>
      </c>
      <c r="AJ133" t="s">
        <v>174</v>
      </c>
      <c r="AK133" s="4">
        <v>55.7</v>
      </c>
      <c r="AL133" s="4">
        <v>56.5</v>
      </c>
      <c r="AM133" s="4">
        <v>56.1</v>
      </c>
      <c r="AN133">
        <v>0</v>
      </c>
    </row>
    <row r="134" spans="1:40" ht="18" customHeight="1">
      <c r="A134" t="str">
        <f>"141720230228103656340658"</f>
        <v>141720230228103656340658</v>
      </c>
      <c r="B134" t="s">
        <v>44</v>
      </c>
      <c r="C134" t="str">
        <f>"张敏君"</f>
        <v>张敏君</v>
      </c>
      <c r="D134" t="str">
        <f t="shared" si="41"/>
        <v>女</v>
      </c>
      <c r="E134" t="str">
        <f>"1999-12-13"</f>
        <v>1999-12-13</v>
      </c>
      <c r="F134" t="str">
        <f>"安徽省亳州市利辛县"</f>
        <v>安徽省亳州市利辛县</v>
      </c>
      <c r="G134" t="str">
        <f t="shared" si="53"/>
        <v>汉族</v>
      </c>
      <c r="H134" t="str">
        <f>"共青团员"</f>
        <v>共青团员</v>
      </c>
      <c r="I134" t="str">
        <f>"34122719991213832X"</f>
        <v>34122719991213832X</v>
      </c>
      <c r="J134" t="str">
        <f aca="true" t="shared" si="56" ref="J134:J145">"未婚"</f>
        <v>未婚</v>
      </c>
      <c r="K134" t="str">
        <f>"大专"</f>
        <v>大专</v>
      </c>
      <c r="L134" t="str">
        <f>"无"</f>
        <v>无</v>
      </c>
      <c r="M134" t="str">
        <f aca="true" t="shared" si="57" ref="M134:M139">"学前教育"</f>
        <v>学前教育</v>
      </c>
      <c r="N134" t="str">
        <f>"宣城职业技术学院"</f>
        <v>宣城职业技术学院</v>
      </c>
      <c r="O134" t="str">
        <f>"2021.7.1"</f>
        <v>2021.7.1</v>
      </c>
      <c r="P134" t="str">
        <f>"大专"</f>
        <v>大专</v>
      </c>
      <c r="Q134" t="str">
        <f>"无"</f>
        <v>无</v>
      </c>
      <c r="R134" t="str">
        <f t="shared" si="54"/>
        <v>学前教育</v>
      </c>
      <c r="S134" t="str">
        <f>"宣城职业技术学院"</f>
        <v>宣城职业技术学院</v>
      </c>
      <c r="T134" t="str">
        <f>"2021.7.1"</f>
        <v>2021.7.1</v>
      </c>
      <c r="U134" t="str">
        <f>"幼儿园教师资格证"</f>
        <v>幼儿园教师资格证</v>
      </c>
      <c r="V134" t="str">
        <f>"无"</f>
        <v>无</v>
      </c>
      <c r="W134" t="str">
        <f>"无"</f>
        <v>无</v>
      </c>
      <c r="X134" t="str">
        <f t="shared" si="55"/>
        <v>是</v>
      </c>
      <c r="Y134" t="str">
        <f>"无"</f>
        <v>无</v>
      </c>
      <c r="Z134" t="str">
        <f>"18256907128"</f>
        <v>18256907128</v>
      </c>
      <c r="AA134" t="str">
        <f>"安徽省长丰县"</f>
        <v>安徽省长丰县</v>
      </c>
      <c r="AB134" s="1" t="str">
        <f>"2015.9-2018.7安徽服装学校   学生
2018.9-2021.7宣城职业技术学院   学生
"</f>
        <v>2015.9-2018.7安徽服装学校   学生
2018.9-2021.7宣城职业技术学院   学生
</v>
      </c>
      <c r="AC134" t="str">
        <f t="shared" si="52"/>
        <v>无</v>
      </c>
      <c r="AD134" s="1" t="str">
        <f>"特长：讲故事
爱好：弹琴，跳舞，看书"</f>
        <v>特长：讲故事
爱好：弹琴，跳舞，看书</v>
      </c>
      <c r="AE134" t="str">
        <f>"父女|张俊礼|个体||母女|代靖|个体||姐弟|张敏鑫||学生"</f>
        <v>父女|张俊礼|个体||母女|代靖|个体||姐弟|张敏鑫||学生</v>
      </c>
      <c r="AF134" s="2">
        <v>44987.387719907405</v>
      </c>
      <c r="AG134">
        <v>1</v>
      </c>
      <c r="AH134">
        <v>1</v>
      </c>
      <c r="AI134">
        <v>0</v>
      </c>
      <c r="AJ134" t="s">
        <v>175</v>
      </c>
      <c r="AK134" s="4" t="s">
        <v>264</v>
      </c>
      <c r="AL134" s="4" t="s">
        <v>264</v>
      </c>
      <c r="AM134" s="4" t="s">
        <v>264</v>
      </c>
      <c r="AN134">
        <v>0</v>
      </c>
    </row>
    <row r="135" spans="1:40" ht="18" customHeight="1">
      <c r="A135" t="str">
        <f>"141720230228104509340660"</f>
        <v>141720230228104509340660</v>
      </c>
      <c r="B135" t="s">
        <v>44</v>
      </c>
      <c r="C135" t="str">
        <f>"季悦红"</f>
        <v>季悦红</v>
      </c>
      <c r="D135" t="str">
        <f t="shared" si="41"/>
        <v>女</v>
      </c>
      <c r="E135" t="str">
        <f>"1999-12"</f>
        <v>1999-12</v>
      </c>
      <c r="F135" t="str">
        <f>"安徽省芜湖市"</f>
        <v>安徽省芜湖市</v>
      </c>
      <c r="G135" t="str">
        <f t="shared" si="53"/>
        <v>汉族</v>
      </c>
      <c r="H135" t="str">
        <f>"共青团员"</f>
        <v>共青团员</v>
      </c>
      <c r="I135" t="str">
        <f>"34262319991207882X"</f>
        <v>34262319991207882X</v>
      </c>
      <c r="J135" t="str">
        <f t="shared" si="56"/>
        <v>未婚</v>
      </c>
      <c r="K135" t="str">
        <f>"本科"</f>
        <v>本科</v>
      </c>
      <c r="L135" t="str">
        <f>"学士"</f>
        <v>学士</v>
      </c>
      <c r="M135" t="str">
        <f t="shared" si="57"/>
        <v>学前教育</v>
      </c>
      <c r="N135" t="str">
        <f>"合肥学院"</f>
        <v>合肥学院</v>
      </c>
      <c r="O135" t="str">
        <f>"2023-7-01"</f>
        <v>2023-7-01</v>
      </c>
      <c r="P135" t="str">
        <f>"本科"</f>
        <v>本科</v>
      </c>
      <c r="Q135" t="str">
        <f>"学士"</f>
        <v>学士</v>
      </c>
      <c r="R135" t="str">
        <f t="shared" si="54"/>
        <v>学前教育</v>
      </c>
      <c r="S135" t="str">
        <f>"合肥学院"</f>
        <v>合肥学院</v>
      </c>
      <c r="T135" t="str">
        <f>"2023-7-01"</f>
        <v>2023-7-01</v>
      </c>
      <c r="U135" t="str">
        <f>"幼儿园教师资格证"</f>
        <v>幼儿园教师资格证</v>
      </c>
      <c r="V135" t="str">
        <f>"无"</f>
        <v>无</v>
      </c>
      <c r="W135" t="str">
        <f>"无"</f>
        <v>无</v>
      </c>
      <c r="X135" t="str">
        <f t="shared" si="55"/>
        <v>是</v>
      </c>
      <c r="Y135" t="str">
        <f>"无"</f>
        <v>无</v>
      </c>
      <c r="Z135" t="str">
        <f>"18133414127"</f>
        <v>18133414127</v>
      </c>
      <c r="AA135" t="str">
        <f>"安徽省芜湖市鸠江区"</f>
        <v>安徽省芜湖市鸠江区</v>
      </c>
      <c r="AB135" s="1" t="str">
        <f>"2015.9-2018.7 芜湖市六洲高中 学生
2018.9-2021.7 安徽城市管理职业学院 学生
2021.9-2023.7 合肥学院 学生"</f>
        <v>2015.9-2018.7 芜湖市六洲高中 学生
2018.9-2021.7 安徽城市管理职业学院 学生
2021.9-2023.7 合肥学院 学生</v>
      </c>
      <c r="AC135" t="str">
        <f t="shared" si="52"/>
        <v>无</v>
      </c>
      <c r="AD135" t="str">
        <f>"国画，书法，读书，写作，唱歌"</f>
        <v>国画，书法，读书，写作，唱歌</v>
      </c>
      <c r="AE135" t="str">
        <f>"母亲|鲁正霞|无|务农|父亲|季昌保|无|务农||||"</f>
        <v>母亲|鲁正霞|无|务农|父亲|季昌保|无|务农||||</v>
      </c>
      <c r="AF135" s="2">
        <v>44986.38384259259</v>
      </c>
      <c r="AG135">
        <v>1</v>
      </c>
      <c r="AH135">
        <v>1</v>
      </c>
      <c r="AI135">
        <v>0</v>
      </c>
      <c r="AJ135" t="s">
        <v>176</v>
      </c>
      <c r="AK135" s="4">
        <v>70.4</v>
      </c>
      <c r="AL135" s="4">
        <v>72.7</v>
      </c>
      <c r="AM135" s="4">
        <v>71.55000000000001</v>
      </c>
      <c r="AN135">
        <v>0</v>
      </c>
    </row>
    <row r="136" spans="1:40" ht="18" customHeight="1">
      <c r="A136" t="str">
        <f>"141720230228120706340671"</f>
        <v>141720230228120706340671</v>
      </c>
      <c r="B136" t="s">
        <v>44</v>
      </c>
      <c r="C136" t="str">
        <f>"汪慧敏"</f>
        <v>汪慧敏</v>
      </c>
      <c r="D136" t="str">
        <f>"男"</f>
        <v>男</v>
      </c>
      <c r="E136" t="str">
        <f>"2000.12"</f>
        <v>2000.12</v>
      </c>
      <c r="F136" t="str">
        <f>"安徽瑶海区"</f>
        <v>安徽瑶海区</v>
      </c>
      <c r="G136" t="str">
        <f t="shared" si="53"/>
        <v>汉族</v>
      </c>
      <c r="H136" t="str">
        <f>"群众"</f>
        <v>群众</v>
      </c>
      <c r="I136" t="str">
        <f>"342921200012051524"</f>
        <v>342921200012051524</v>
      </c>
      <c r="J136" t="str">
        <f t="shared" si="56"/>
        <v>未婚</v>
      </c>
      <c r="K136" t="str">
        <f>"专科"</f>
        <v>专科</v>
      </c>
      <c r="L136" t="str">
        <f>"专科"</f>
        <v>专科</v>
      </c>
      <c r="M136" t="str">
        <f t="shared" si="57"/>
        <v>学前教育</v>
      </c>
      <c r="N136" t="str">
        <f>"合肥滨湖职业技术学院"</f>
        <v>合肥滨湖职业技术学院</v>
      </c>
      <c r="O136" t="str">
        <f>"2022.7"</f>
        <v>2022.7</v>
      </c>
      <c r="P136" t="str">
        <f>"专科"</f>
        <v>专科</v>
      </c>
      <c r="Q136" t="str">
        <f>"专科"</f>
        <v>专科</v>
      </c>
      <c r="R136" t="str">
        <f t="shared" si="54"/>
        <v>学前教育</v>
      </c>
      <c r="S136" t="str">
        <f>"合肥滨湖职业技术学院"</f>
        <v>合肥滨湖职业技术学院</v>
      </c>
      <c r="T136" t="str">
        <f>"2022.7"</f>
        <v>2022.7</v>
      </c>
      <c r="U136" t="str">
        <f>"有"</f>
        <v>有</v>
      </c>
      <c r="V136" t="str">
        <f>"两年"</f>
        <v>两年</v>
      </c>
      <c r="W136" t="str">
        <f>"无"</f>
        <v>无</v>
      </c>
      <c r="X136" t="str">
        <f t="shared" si="55"/>
        <v>是</v>
      </c>
      <c r="Y136" t="str">
        <f>"未来之星幼儿园"</f>
        <v>未来之星幼儿园</v>
      </c>
      <c r="Z136" t="str">
        <f>"13339106762"</f>
        <v>13339106762</v>
      </c>
      <c r="AA136" t="str">
        <f>"安徽瑶海区万福家园"</f>
        <v>安徽瑶海区万福家园</v>
      </c>
      <c r="AB136" s="1" t="str">
        <f>"2016.9-2019.6池州工业学校
2019.9-2022.6合肥滨湖职业技术学院"</f>
        <v>2016.9-2019.6池州工业学校
2019.9-2022.6合肥滨湖职业技术学院</v>
      </c>
      <c r="AC136" t="str">
        <f t="shared" si="52"/>
        <v>无</v>
      </c>
      <c r="AD136" t="str">
        <f>"唱歌，画画，跳舞"</f>
        <v>唱歌，画画，跳舞</v>
      </c>
      <c r="AE136" t="str">
        <f>"父女|汪新德|无|无|母女|王桂莲|无|无|姐妹|汪慧琴|无|无"</f>
        <v>父女|汪新德|无|无|母女|王桂莲|无|无|姐妹|汪慧琴|无|无</v>
      </c>
      <c r="AF136" s="2">
        <v>44985.55168981481</v>
      </c>
      <c r="AG136">
        <v>1</v>
      </c>
      <c r="AH136">
        <v>1</v>
      </c>
      <c r="AI136">
        <v>0</v>
      </c>
      <c r="AJ136" t="s">
        <v>177</v>
      </c>
      <c r="AK136" s="4" t="s">
        <v>264</v>
      </c>
      <c r="AL136" s="4" t="s">
        <v>264</v>
      </c>
      <c r="AM136" s="4" t="s">
        <v>264</v>
      </c>
      <c r="AN136">
        <v>0</v>
      </c>
    </row>
    <row r="137" spans="1:40" ht="18" customHeight="1">
      <c r="A137" t="str">
        <f>"141720230228125856340684"</f>
        <v>141720230228125856340684</v>
      </c>
      <c r="B137" t="s">
        <v>44</v>
      </c>
      <c r="C137" t="str">
        <f>"陈梦梦"</f>
        <v>陈梦梦</v>
      </c>
      <c r="D137" t="str">
        <f>"男"</f>
        <v>男</v>
      </c>
      <c r="E137" t="str">
        <f>"2001-09"</f>
        <v>2001-09</v>
      </c>
      <c r="F137" t="str">
        <f>"安徽省六安市"</f>
        <v>安徽省六安市</v>
      </c>
      <c r="G137" t="str">
        <f t="shared" si="53"/>
        <v>汉族</v>
      </c>
      <c r="H137" t="str">
        <f aca="true" t="shared" si="58" ref="H137:H142">"共青团员"</f>
        <v>共青团员</v>
      </c>
      <c r="I137" t="str">
        <f>"342401200109085680"</f>
        <v>342401200109085680</v>
      </c>
      <c r="J137" t="str">
        <f t="shared" si="56"/>
        <v>未婚</v>
      </c>
      <c r="K137" t="str">
        <f aca="true" t="shared" si="59" ref="K137:L139">"大专"</f>
        <v>大专</v>
      </c>
      <c r="L137" t="str">
        <f t="shared" si="59"/>
        <v>大专</v>
      </c>
      <c r="M137" t="str">
        <f t="shared" si="57"/>
        <v>学前教育</v>
      </c>
      <c r="N137" t="str">
        <f>"淮南联合大学"</f>
        <v>淮南联合大学</v>
      </c>
      <c r="O137" t="str">
        <f>"2022-7"</f>
        <v>2022-7</v>
      </c>
      <c r="P137" t="str">
        <f aca="true" t="shared" si="60" ref="P137:Q139">"大专"</f>
        <v>大专</v>
      </c>
      <c r="Q137" t="str">
        <f t="shared" si="60"/>
        <v>大专</v>
      </c>
      <c r="R137" t="str">
        <f t="shared" si="54"/>
        <v>学前教育</v>
      </c>
      <c r="S137" t="str">
        <f>"淮南联合大学"</f>
        <v>淮南联合大学</v>
      </c>
      <c r="T137" t="str">
        <f>"2022-7"</f>
        <v>2022-7</v>
      </c>
      <c r="U137" t="str">
        <f>"20223408212001111"</f>
        <v>20223408212001111</v>
      </c>
      <c r="V137" t="str">
        <f>"2"</f>
        <v>2</v>
      </c>
      <c r="W137" t="str">
        <f>"无"</f>
        <v>无</v>
      </c>
      <c r="X137" t="str">
        <f t="shared" si="55"/>
        <v>是</v>
      </c>
      <c r="Y137" t="str">
        <f>"安徽六安市华森 元一 卡地亚湾幼儿园"</f>
        <v>安徽六安市华森 元一 卡地亚湾幼儿园</v>
      </c>
      <c r="Z137" t="str">
        <f>"19856469575"</f>
        <v>19856469575</v>
      </c>
      <c r="AA137" t="str">
        <f>"安徽六安市卡地亚湾小区"</f>
        <v>安徽六安市卡地亚湾小区</v>
      </c>
      <c r="AB137" s="1" t="str">
        <f>"2016.9-2018.6 六安二中河西校区学生       2019.9-2022.6 淮南联合大学 学生  2021.9-2022.2  六安阳光幼儿园 员工  2022.4-2023.3卡地亚湾幼儿园员工           
"</f>
        <v>2016.9-2018.6 六安二中河西校区学生       2019.9-2022.6 淮南联合大学 学生  2021.9-2022.2  六安阳光幼儿园 员工  2022.4-2023.3卡地亚湾幼儿园员工           
</v>
      </c>
      <c r="AC137" s="1" t="str">
        <f>"2019年三好学生
 2020年三好学生"</f>
        <v>2019年三好学生
 2020年三好学生</v>
      </c>
      <c r="AD137" t="str">
        <f>"绘画，手工，舞蹈"</f>
        <v>绘画，手工，舞蹈</v>
      </c>
      <c r="AE137" t="str">
        <f>"母女|张林|自由职业||父女|杨在成|自由职业|||||"</f>
        <v>母女|张林|自由职业||父女|杨在成|自由职业|||||</v>
      </c>
      <c r="AF137" s="2">
        <v>44985.57061342592</v>
      </c>
      <c r="AG137">
        <v>1</v>
      </c>
      <c r="AH137">
        <v>1</v>
      </c>
      <c r="AI137">
        <v>0</v>
      </c>
      <c r="AJ137" t="s">
        <v>178</v>
      </c>
      <c r="AK137" s="4" t="s">
        <v>264</v>
      </c>
      <c r="AL137" s="4" t="s">
        <v>264</v>
      </c>
      <c r="AM137" s="4" t="s">
        <v>264</v>
      </c>
      <c r="AN137">
        <v>0</v>
      </c>
    </row>
    <row r="138" spans="1:40" ht="18" customHeight="1">
      <c r="A138" t="str">
        <f>"141720230228130041340685"</f>
        <v>141720230228130041340685</v>
      </c>
      <c r="B138" t="s">
        <v>44</v>
      </c>
      <c r="C138" t="str">
        <f>"徐雅婷"</f>
        <v>徐雅婷</v>
      </c>
      <c r="D138" t="str">
        <f aca="true" t="shared" si="61" ref="D138:D156">"女"</f>
        <v>女</v>
      </c>
      <c r="E138" t="str">
        <f>"2002.01.19"</f>
        <v>2002.01.19</v>
      </c>
      <c r="F138" t="str">
        <f>"皖"</f>
        <v>皖</v>
      </c>
      <c r="G138" t="str">
        <f t="shared" si="53"/>
        <v>汉族</v>
      </c>
      <c r="H138" t="str">
        <f t="shared" si="58"/>
        <v>共青团员</v>
      </c>
      <c r="I138" t="str">
        <f>"341622200201190522"</f>
        <v>341622200201190522</v>
      </c>
      <c r="J138" t="str">
        <f t="shared" si="56"/>
        <v>未婚</v>
      </c>
      <c r="K138" t="str">
        <f t="shared" si="59"/>
        <v>大专</v>
      </c>
      <c r="L138" t="str">
        <f t="shared" si="59"/>
        <v>大专</v>
      </c>
      <c r="M138" t="str">
        <f t="shared" si="57"/>
        <v>学前教育</v>
      </c>
      <c r="N138" t="str">
        <f>"阜阳职业技术学院"</f>
        <v>阜阳职业技术学院</v>
      </c>
      <c r="O138" t="str">
        <f>"2022.7"</f>
        <v>2022.7</v>
      </c>
      <c r="P138" t="str">
        <f t="shared" si="60"/>
        <v>大专</v>
      </c>
      <c r="Q138" t="str">
        <f t="shared" si="60"/>
        <v>大专</v>
      </c>
      <c r="R138" t="str">
        <f t="shared" si="54"/>
        <v>学前教育</v>
      </c>
      <c r="S138" t="str">
        <f>"阜阳职业技术学院"</f>
        <v>阜阳职业技术学院</v>
      </c>
      <c r="T138" t="str">
        <f>"2022.7"</f>
        <v>2022.7</v>
      </c>
      <c r="U138" t="str">
        <f>"幼儿园教师资格证"</f>
        <v>幼儿园教师资格证</v>
      </c>
      <c r="V138" t="str">
        <f>"一年"</f>
        <v>一年</v>
      </c>
      <c r="W138" t="str">
        <f>"教师"</f>
        <v>教师</v>
      </c>
      <c r="X138" t="str">
        <f t="shared" si="55"/>
        <v>是</v>
      </c>
      <c r="Y138" t="str">
        <f>"无"</f>
        <v>无</v>
      </c>
      <c r="Z138" t="str">
        <f>"17356759376"</f>
        <v>17356759376</v>
      </c>
      <c r="AA138" t="str">
        <f>"安徽省亳州市蒙城县润尔帝景苑"</f>
        <v>安徽省亳州市蒙城县润尔帝景苑</v>
      </c>
      <c r="AB138" t="str">
        <f>"毕业后一直在幼儿园工作已有一年"</f>
        <v>毕业后一直在幼儿园工作已有一年</v>
      </c>
      <c r="AC138" t="str">
        <f>"无"</f>
        <v>无</v>
      </c>
      <c r="AD138" t="str">
        <f>"音乐唱歌 跳舞 画画"</f>
        <v>音乐唱歌 跳舞 画画</v>
      </c>
      <c r="AE138" t="str">
        <f>"父亲|徐涛|蒙城县三义小学|教师||||||||"</f>
        <v>父亲|徐涛|蒙城县三义小学|教师||||||||</v>
      </c>
      <c r="AF138" s="2">
        <v>44985.56118055555</v>
      </c>
      <c r="AG138">
        <v>1</v>
      </c>
      <c r="AH138">
        <v>1</v>
      </c>
      <c r="AI138">
        <v>0</v>
      </c>
      <c r="AJ138" t="s">
        <v>179</v>
      </c>
      <c r="AK138" s="4">
        <v>77.6</v>
      </c>
      <c r="AL138" s="4">
        <v>67.8</v>
      </c>
      <c r="AM138" s="4">
        <v>72.69999999999999</v>
      </c>
      <c r="AN138">
        <v>0</v>
      </c>
    </row>
    <row r="139" spans="1:40" ht="18" customHeight="1">
      <c r="A139" t="str">
        <f>"141720230228132237340688"</f>
        <v>141720230228132237340688</v>
      </c>
      <c r="B139" t="s">
        <v>44</v>
      </c>
      <c r="C139" t="str">
        <f>"郁心雨"</f>
        <v>郁心雨</v>
      </c>
      <c r="D139" t="str">
        <f t="shared" si="61"/>
        <v>女</v>
      </c>
      <c r="E139" t="str">
        <f>"2002-8"</f>
        <v>2002-8</v>
      </c>
      <c r="F139" t="str">
        <f>"安徽省亳州市蒙城县"</f>
        <v>安徽省亳州市蒙城县</v>
      </c>
      <c r="G139" t="str">
        <f t="shared" si="53"/>
        <v>汉族</v>
      </c>
      <c r="H139" t="str">
        <f t="shared" si="58"/>
        <v>共青团员</v>
      </c>
      <c r="I139" t="str">
        <f>"341224200208119228"</f>
        <v>341224200208119228</v>
      </c>
      <c r="J139" t="str">
        <f t="shared" si="56"/>
        <v>未婚</v>
      </c>
      <c r="K139" t="str">
        <f t="shared" si="59"/>
        <v>大专</v>
      </c>
      <c r="L139" t="str">
        <f t="shared" si="59"/>
        <v>大专</v>
      </c>
      <c r="M139" t="str">
        <f t="shared" si="57"/>
        <v>学前教育</v>
      </c>
      <c r="N139" t="str">
        <f>"阜阳职业技术学院"</f>
        <v>阜阳职业技术学院</v>
      </c>
      <c r="O139" t="str">
        <f>"2022-7"</f>
        <v>2022-7</v>
      </c>
      <c r="P139" t="str">
        <f t="shared" si="60"/>
        <v>大专</v>
      </c>
      <c r="Q139" t="str">
        <f t="shared" si="60"/>
        <v>大专</v>
      </c>
      <c r="R139" t="str">
        <f t="shared" si="54"/>
        <v>学前教育</v>
      </c>
      <c r="S139" t="str">
        <f>"阜阳职业技术学院"</f>
        <v>阜阳职业技术学院</v>
      </c>
      <c r="T139" t="str">
        <f>"2022-7"</f>
        <v>2022-7</v>
      </c>
      <c r="U139" t="str">
        <f>"幼儿园教师资格证"</f>
        <v>幼儿园教师资格证</v>
      </c>
      <c r="V139" t="str">
        <f>"2"</f>
        <v>2</v>
      </c>
      <c r="W139" t="str">
        <f>"教师"</f>
        <v>教师</v>
      </c>
      <c r="X139" t="str">
        <f t="shared" si="55"/>
        <v>是</v>
      </c>
      <c r="Y139" t="str">
        <f>"蒙城县第三幼儿园"</f>
        <v>蒙城县第三幼儿园</v>
      </c>
      <c r="Z139" t="str">
        <f>"19826579940"</f>
        <v>19826579940</v>
      </c>
      <c r="AA139" t="str">
        <f>"安徽省亳州市蒙城县漆园镇郁桥"</f>
        <v>安徽省亳州市蒙城县漆园镇郁桥</v>
      </c>
      <c r="AB139" s="1" t="str">
        <f>"2022-9至今为第三幼儿园教师 
2021大学实习离校后一直担任中国舞教师 后转入幼儿园工作"</f>
        <v>2022-9至今为第三幼儿园教师 
2021大学实习离校后一直担任中国舞教师 后转入幼儿园工作</v>
      </c>
      <c r="AC139" t="str">
        <f>"无"</f>
        <v>无</v>
      </c>
      <c r="AD139" t="str">
        <f>"唱歌 舞蹈 讲故事"</f>
        <v>唱歌 舞蹈 讲故事</v>
      </c>
      <c r="AE139" t="str">
        <f>"父女|郁劲松|私人经营||母女|王侠|江淮||姐弟|郁博森|学生|"</f>
        <v>父女|郁劲松|私人经营||母女|王侠|江淮||姐弟|郁博森|学生|</v>
      </c>
      <c r="AF139" s="2">
        <v>44985.56471064815</v>
      </c>
      <c r="AG139">
        <v>1</v>
      </c>
      <c r="AH139">
        <v>1</v>
      </c>
      <c r="AI139">
        <v>0</v>
      </c>
      <c r="AJ139" t="s">
        <v>180</v>
      </c>
      <c r="AK139" s="4" t="s">
        <v>264</v>
      </c>
      <c r="AL139" s="4" t="s">
        <v>264</v>
      </c>
      <c r="AM139" s="4" t="s">
        <v>264</v>
      </c>
      <c r="AN139">
        <v>0</v>
      </c>
    </row>
    <row r="140" spans="1:40" ht="18" customHeight="1">
      <c r="A140" t="str">
        <f>"141720230228132816340690"</f>
        <v>141720230228132816340690</v>
      </c>
      <c r="B140" t="s">
        <v>44</v>
      </c>
      <c r="C140" t="str">
        <f>"邓新环"</f>
        <v>邓新环</v>
      </c>
      <c r="D140" t="str">
        <f t="shared" si="61"/>
        <v>女</v>
      </c>
      <c r="E140" t="str">
        <f>"1996-04"</f>
        <v>1996-04</v>
      </c>
      <c r="F140" t="str">
        <f>"安徽省合肥市长丰县"</f>
        <v>安徽省合肥市长丰县</v>
      </c>
      <c r="G140" t="str">
        <f t="shared" si="53"/>
        <v>汉族</v>
      </c>
      <c r="H140" t="str">
        <f t="shared" si="58"/>
        <v>共青团员</v>
      </c>
      <c r="I140" t="str">
        <f>"340121199604144029"</f>
        <v>340121199604144029</v>
      </c>
      <c r="J140" t="str">
        <f t="shared" si="56"/>
        <v>未婚</v>
      </c>
      <c r="K140" t="str">
        <f>"本科"</f>
        <v>本科</v>
      </c>
      <c r="L140" t="str">
        <f>"无"</f>
        <v>无</v>
      </c>
      <c r="M140" t="str">
        <f>"教育学"</f>
        <v>教育学</v>
      </c>
      <c r="N140" t="str">
        <f>"安徽师范大学"</f>
        <v>安徽师范大学</v>
      </c>
      <c r="O140" t="str">
        <f>"2022.7.1"</f>
        <v>2022.7.1</v>
      </c>
      <c r="P140" t="str">
        <f>"专科"</f>
        <v>专科</v>
      </c>
      <c r="Q140" t="str">
        <f>"无"</f>
        <v>无</v>
      </c>
      <c r="R140" t="str">
        <f t="shared" si="54"/>
        <v>学前教育</v>
      </c>
      <c r="S140" t="str">
        <f>"合肥学院"</f>
        <v>合肥学院</v>
      </c>
      <c r="T140" t="str">
        <f>"2015.7.1"</f>
        <v>2015.7.1</v>
      </c>
      <c r="U140" t="str">
        <f>"幼儿教师资格证"</f>
        <v>幼儿教师资格证</v>
      </c>
      <c r="V140" t="str">
        <f>"7年"</f>
        <v>7年</v>
      </c>
      <c r="W140" t="str">
        <f>"无"</f>
        <v>无</v>
      </c>
      <c r="X140" t="str">
        <f>"否"</f>
        <v>否</v>
      </c>
      <c r="Y140" t="str">
        <f>"无"</f>
        <v>无</v>
      </c>
      <c r="Z140" t="str">
        <f>"18297903827"</f>
        <v>18297903827</v>
      </c>
      <c r="AA140" t="str">
        <f>"安徽省合肥市长丰县吴山镇"</f>
        <v>安徽省合肥市长丰县吴山镇</v>
      </c>
      <c r="AB140" s="1" t="str">
        <f>"2012.9-2015.7合肥腾飞职业技术学校 学生
2013.3-2015.7合肥学院 学生
2015.7-2017.7格林幼教 教师
2018.9-2021.6万泉河路幼儿园 教师
2022.3-2022.7安徽师范大学 学生
2021.9-2023.1肥东实验幼儿园 教师
"</f>
        <v>2012.9-2015.7合肥腾飞职业技术学校 学生
2013.3-2015.7合肥学院 学生
2015.7-2017.7格林幼教 教师
2018.9-2021.6万泉河路幼儿园 教师
2022.3-2022.7安徽师范大学 学生
2021.9-2023.1肥东实验幼儿园 教师
</v>
      </c>
      <c r="AC140" t="str">
        <f>"无"</f>
        <v>无</v>
      </c>
      <c r="AD140" t="str">
        <f>"美术"</f>
        <v>美术</v>
      </c>
      <c r="AE140" t="str">
        <f>"父女|邓之浦|无|务农|母女|陶琴|无|务农|姐弟|邓光辉|合肥新桥中学|学生"</f>
        <v>父女|邓之浦|无|务农|母女|陶琴|无|务农|姐弟|邓光辉|合肥新桥中学|学生</v>
      </c>
      <c r="AF140" s="2">
        <v>44987.599340277775</v>
      </c>
      <c r="AG140">
        <v>1</v>
      </c>
      <c r="AH140">
        <v>1</v>
      </c>
      <c r="AI140">
        <v>0</v>
      </c>
      <c r="AJ140" t="s">
        <v>181</v>
      </c>
      <c r="AK140" s="4">
        <v>57</v>
      </c>
      <c r="AL140" s="4">
        <v>57.5</v>
      </c>
      <c r="AM140" s="4">
        <v>57.25</v>
      </c>
      <c r="AN140">
        <v>0</v>
      </c>
    </row>
    <row r="141" spans="1:40" ht="18" customHeight="1">
      <c r="A141" t="str">
        <f>"141720230228142014340699"</f>
        <v>141720230228142014340699</v>
      </c>
      <c r="B141" t="s">
        <v>44</v>
      </c>
      <c r="C141" t="str">
        <f>"凡金"</f>
        <v>凡金</v>
      </c>
      <c r="D141" t="str">
        <f t="shared" si="61"/>
        <v>女</v>
      </c>
      <c r="E141" t="str">
        <f>"2000年1月16日"</f>
        <v>2000年1月16日</v>
      </c>
      <c r="F141" t="str">
        <f>"安徽省庐江县"</f>
        <v>安徽省庐江县</v>
      </c>
      <c r="G141" t="str">
        <f t="shared" si="53"/>
        <v>汉族</v>
      </c>
      <c r="H141" t="str">
        <f t="shared" si="58"/>
        <v>共青团员</v>
      </c>
      <c r="I141" t="str">
        <f>"342622200001161007"</f>
        <v>342622200001161007</v>
      </c>
      <c r="J141" t="str">
        <f t="shared" si="56"/>
        <v>未婚</v>
      </c>
      <c r="K141" t="str">
        <f>"本科"</f>
        <v>本科</v>
      </c>
      <c r="L141" t="str">
        <f>"无"</f>
        <v>无</v>
      </c>
      <c r="M141" t="str">
        <f>"幼儿教育"</f>
        <v>幼儿教育</v>
      </c>
      <c r="N141" t="str">
        <f>"安徽师范学院"</f>
        <v>安徽师范学院</v>
      </c>
      <c r="O141" t="str">
        <f>"2021年7月"</f>
        <v>2021年7月</v>
      </c>
      <c r="P141" t="str">
        <f>"大专"</f>
        <v>大专</v>
      </c>
      <c r="Q141" t="str">
        <f>"无"</f>
        <v>无</v>
      </c>
      <c r="R141" t="str">
        <f>"幼儿教育"</f>
        <v>幼儿教育</v>
      </c>
      <c r="S141" t="str">
        <f>"合肥学院"</f>
        <v>合肥学院</v>
      </c>
      <c r="T141" t="str">
        <f>"2018年6月"</f>
        <v>2018年6月</v>
      </c>
      <c r="U141" t="str">
        <f>"幼儿教师资格证"</f>
        <v>幼儿教师资格证</v>
      </c>
      <c r="V141" t="str">
        <f>"2年"</f>
        <v>2年</v>
      </c>
      <c r="W141" t="str">
        <f>"无"</f>
        <v>无</v>
      </c>
      <c r="X141" t="str">
        <f aca="true" t="shared" si="62" ref="X141:X161">"是"</f>
        <v>是</v>
      </c>
      <c r="Y141" t="str">
        <f>"颐景园幼儿园"</f>
        <v>颐景园幼儿园</v>
      </c>
      <c r="Z141" t="str">
        <f>"19965048849"</f>
        <v>19965048849</v>
      </c>
      <c r="AA141" t="str">
        <f>"合肥宋都西湖"</f>
        <v>合肥宋都西湖</v>
      </c>
      <c r="AB141" s="1" t="str">
        <f>"2015-2018合肥学院大专
2019-2021安徽师范大学本科
2021-2023颐景园幼儿园"</f>
        <v>2015-2018合肥学院大专
2019-2021安徽师范大学本科
2021-2023颐景园幼儿园</v>
      </c>
      <c r="AC141" t="str">
        <f>"无"</f>
        <v>无</v>
      </c>
      <c r="AD141" t="str">
        <f>"舞蹈 美术 亲和力"</f>
        <v>舞蹈 美术 亲和力</v>
      </c>
      <c r="AE141" t="str">
        <f>"父亲|凡增胜|上海建工|工人||||||||"</f>
        <v>父亲|凡增胜|上海建工|工人||||||||</v>
      </c>
      <c r="AF141" s="2">
        <v>44986.404814814814</v>
      </c>
      <c r="AG141">
        <v>1</v>
      </c>
      <c r="AH141">
        <v>1</v>
      </c>
      <c r="AI141">
        <v>0</v>
      </c>
      <c r="AJ141" t="s">
        <v>182</v>
      </c>
      <c r="AK141" s="4">
        <v>62</v>
      </c>
      <c r="AL141" s="4">
        <v>64.3</v>
      </c>
      <c r="AM141" s="4">
        <v>63.15</v>
      </c>
      <c r="AN141">
        <v>0</v>
      </c>
    </row>
    <row r="142" spans="1:40" ht="18" customHeight="1">
      <c r="A142" t="str">
        <f>"141720230228142824340703"</f>
        <v>141720230228142824340703</v>
      </c>
      <c r="B142" t="s">
        <v>44</v>
      </c>
      <c r="C142" t="str">
        <f>"包冬旭"</f>
        <v>包冬旭</v>
      </c>
      <c r="D142" t="str">
        <f t="shared" si="61"/>
        <v>女</v>
      </c>
      <c r="E142" t="str">
        <f>"1999-11"</f>
        <v>1999-11</v>
      </c>
      <c r="F142" t="str">
        <f>"内蒙古自治区通辽市科尔沁左翼后旗"</f>
        <v>内蒙古自治区通辽市科尔沁左翼后旗</v>
      </c>
      <c r="G142" t="str">
        <f>"少数民族"</f>
        <v>少数民族</v>
      </c>
      <c r="H142" t="str">
        <f t="shared" si="58"/>
        <v>共青团员</v>
      </c>
      <c r="I142" t="str">
        <f>"152323199911082542"</f>
        <v>152323199911082542</v>
      </c>
      <c r="J142" t="str">
        <f t="shared" si="56"/>
        <v>未婚</v>
      </c>
      <c r="K142" t="str">
        <f>"本科"</f>
        <v>本科</v>
      </c>
      <c r="L142" t="str">
        <f>"学士"</f>
        <v>学士</v>
      </c>
      <c r="M142" t="str">
        <f aca="true" t="shared" si="63" ref="M142:M163">"学前教育"</f>
        <v>学前教育</v>
      </c>
      <c r="N142" t="str">
        <f>"内蒙古科技大学包头师范学院"</f>
        <v>内蒙古科技大学包头师范学院</v>
      </c>
      <c r="O142" t="str">
        <f>"2022年"</f>
        <v>2022年</v>
      </c>
      <c r="P142" t="str">
        <f>"本科"</f>
        <v>本科</v>
      </c>
      <c r="Q142" t="str">
        <f>"学士"</f>
        <v>学士</v>
      </c>
      <c r="R142" t="str">
        <f aca="true" t="shared" si="64" ref="R142:R157">"学前教育"</f>
        <v>学前教育</v>
      </c>
      <c r="S142" t="str">
        <f>"内蒙古科技大学包头师范学院"</f>
        <v>内蒙古科技大学包头师范学院</v>
      </c>
      <c r="T142" t="str">
        <f>"2022年"</f>
        <v>2022年</v>
      </c>
      <c r="U142" t="str">
        <f>"幼儿教师资格证"</f>
        <v>幼儿教师资格证</v>
      </c>
      <c r="V142" t="str">
        <f>"本科在读期间参加在幼儿园实习及见习"</f>
        <v>本科在读期间参加在幼儿园实习及见习</v>
      </c>
      <c r="W142" t="str">
        <f>"无"</f>
        <v>无</v>
      </c>
      <c r="X142" t="str">
        <f t="shared" si="62"/>
        <v>是</v>
      </c>
      <c r="Y142" t="str">
        <f>"无"</f>
        <v>无</v>
      </c>
      <c r="Z142" t="str">
        <f>"18747445317"</f>
        <v>18747445317</v>
      </c>
      <c r="AA142" t="str">
        <f>"内蒙古自治区通辽市科尔沁左翼后旗公河来"</f>
        <v>内蒙古自治区通辽市科尔沁左翼后旗公河来</v>
      </c>
      <c r="AB142" s="1" t="str">
        <f>"2015.9-2018.6 通辽实验中学 学生
2018.9-2022.6 内蒙古科技大学包头师范学院 学生"</f>
        <v>2015.9-2018.6 通辽实验中学 学生
2018.9-2022.6 内蒙古科技大学包头师范学院 学生</v>
      </c>
      <c r="AC142" t="str">
        <f>"大学在校期间的《i幼儿》项目在第七届“互联网+”大学生创新创业大赛院赛二等奖"</f>
        <v>大学在校期间的《i幼儿》项目在第七届“互联网+”大学生创新创业大赛院赛二等奖</v>
      </c>
      <c r="AD142" t="str">
        <f>"读绘本故事"</f>
        <v>读绘本故事</v>
      </c>
      <c r="AE142" t="str">
        <f>"父女|包吉如和|无|个体|母女|白玉琴|无|个体|姐妹|包添伊|无|学生"</f>
        <v>父女|包吉如和|无|个体|母女|白玉琴|无|个体|姐妹|包添伊|无|学生</v>
      </c>
      <c r="AF142" s="2">
        <v>44986.379525462966</v>
      </c>
      <c r="AG142">
        <v>1</v>
      </c>
      <c r="AH142">
        <v>1</v>
      </c>
      <c r="AI142">
        <v>0</v>
      </c>
      <c r="AJ142" t="s">
        <v>183</v>
      </c>
      <c r="AK142" s="4">
        <v>73</v>
      </c>
      <c r="AL142" s="4">
        <v>56.2</v>
      </c>
      <c r="AM142" s="4">
        <v>64.6</v>
      </c>
      <c r="AN142">
        <v>0</v>
      </c>
    </row>
    <row r="143" spans="1:40" ht="18" customHeight="1">
      <c r="A143" t="str">
        <f>"141720230228143152340704"</f>
        <v>141720230228143152340704</v>
      </c>
      <c r="B143" t="s">
        <v>44</v>
      </c>
      <c r="C143" t="str">
        <f>"蔡晨晨"</f>
        <v>蔡晨晨</v>
      </c>
      <c r="D143" t="str">
        <f t="shared" si="61"/>
        <v>女</v>
      </c>
      <c r="E143" t="str">
        <f>"2002-12"</f>
        <v>2002-12</v>
      </c>
      <c r="F143" t="str">
        <f>"皖"</f>
        <v>皖</v>
      </c>
      <c r="G143" t="str">
        <f>"汉族"</f>
        <v>汉族</v>
      </c>
      <c r="H143" t="str">
        <f>"中共党员"</f>
        <v>中共党员</v>
      </c>
      <c r="I143" t="str">
        <f>"341224200212128725"</f>
        <v>341224200212128725</v>
      </c>
      <c r="J143" t="str">
        <f t="shared" si="56"/>
        <v>未婚</v>
      </c>
      <c r="K143" t="str">
        <f aca="true" t="shared" si="65" ref="K143:L145">"大专"</f>
        <v>大专</v>
      </c>
      <c r="L143" t="str">
        <f t="shared" si="65"/>
        <v>大专</v>
      </c>
      <c r="M143" t="str">
        <f t="shared" si="63"/>
        <v>学前教育</v>
      </c>
      <c r="N143" t="str">
        <f>"阜阳职业技术学院"</f>
        <v>阜阳职业技术学院</v>
      </c>
      <c r="O143" t="str">
        <f>"2022.7"</f>
        <v>2022.7</v>
      </c>
      <c r="P143" t="str">
        <f>"大专"</f>
        <v>大专</v>
      </c>
      <c r="Q143" t="str">
        <f>"大专"</f>
        <v>大专</v>
      </c>
      <c r="R143" t="str">
        <f t="shared" si="64"/>
        <v>学前教育</v>
      </c>
      <c r="S143" t="str">
        <f>"阜阳职业技术学院"</f>
        <v>阜阳职业技术学院</v>
      </c>
      <c r="T143" t="str">
        <f>"2022.7"</f>
        <v>2022.7</v>
      </c>
      <c r="U143" t="str">
        <f>"幼儿园教师资格证"</f>
        <v>幼儿园教师资格证</v>
      </c>
      <c r="V143" t="str">
        <f>"一年"</f>
        <v>一年</v>
      </c>
      <c r="W143" t="str">
        <f>"教师"</f>
        <v>教师</v>
      </c>
      <c r="X143" t="str">
        <f t="shared" si="62"/>
        <v>是</v>
      </c>
      <c r="Y143" t="str">
        <f>"教师"</f>
        <v>教师</v>
      </c>
      <c r="Z143" t="str">
        <f>"19956846509"</f>
        <v>19956846509</v>
      </c>
      <c r="AA143" t="str">
        <f>"安徽省亳州市蒙城县许疃镇邵于村范庄10号"</f>
        <v>安徽省亳州市蒙城县许疃镇邵于村范庄10号</v>
      </c>
      <c r="AB143" t="str">
        <f>"自2022年毕业后到2023年在幼儿园工作一年 曾在美术机构和舞蹈机构代课 "</f>
        <v>自2022年毕业后到2023年在幼儿园工作一年 曾在美术机构和舞蹈机构代课 </v>
      </c>
      <c r="AC143" t="str">
        <f>"大学期间连续两次拿到国家励志奖学金 一等奖学金 二等奖学金 三等奖学金 并代表学校参加技能大赛 北京舞蹈学院1—5级舞蹈教师资格证 普通话证 幼儿园教师资格证 保育员证"</f>
        <v>大学期间连续两次拿到国家励志奖学金 一等奖学金 二等奖学金 三等奖学金 并代表学校参加技能大赛 北京舞蹈学院1—5级舞蹈教师资格证 普通话证 幼儿园教师资格证 保育员证</v>
      </c>
      <c r="AD143" t="str">
        <f>"钢琴舞蹈美术"</f>
        <v>钢琴舞蹈美术</v>
      </c>
      <c r="AE143" t="str">
        <f>"父女|蔡军|务工|务工|母女|张素霞|无|无|姐弟|蔡佳乐|学生|学生"</f>
        <v>父女|蔡军|务工|务工|母女|张素霞|无|无|姐弟|蔡佳乐|学生|学生</v>
      </c>
      <c r="AF143" s="2">
        <v>44986.37841435185</v>
      </c>
      <c r="AG143">
        <v>1</v>
      </c>
      <c r="AH143">
        <v>1</v>
      </c>
      <c r="AI143">
        <v>0</v>
      </c>
      <c r="AJ143" t="s">
        <v>184</v>
      </c>
      <c r="AK143" s="4">
        <v>71.4</v>
      </c>
      <c r="AL143" s="4">
        <v>69.1</v>
      </c>
      <c r="AM143" s="4">
        <v>70.25</v>
      </c>
      <c r="AN143">
        <v>0</v>
      </c>
    </row>
    <row r="144" spans="1:40" ht="18" customHeight="1">
      <c r="A144" t="str">
        <f>"141720230228144327340705"</f>
        <v>141720230228144327340705</v>
      </c>
      <c r="B144" t="s">
        <v>44</v>
      </c>
      <c r="C144" t="str">
        <f>"孙宇静"</f>
        <v>孙宇静</v>
      </c>
      <c r="D144" t="str">
        <f t="shared" si="61"/>
        <v>女</v>
      </c>
      <c r="E144" t="str">
        <f>"2000.8.16"</f>
        <v>2000.8.16</v>
      </c>
      <c r="F144" t="str">
        <f>"皖"</f>
        <v>皖</v>
      </c>
      <c r="G144" t="str">
        <f>"汉族"</f>
        <v>汉族</v>
      </c>
      <c r="H144" t="str">
        <f>"共青团员"</f>
        <v>共青团员</v>
      </c>
      <c r="I144" t="str">
        <f>"341224200008169327"</f>
        <v>341224200008169327</v>
      </c>
      <c r="J144" t="str">
        <f t="shared" si="56"/>
        <v>未婚</v>
      </c>
      <c r="K144" t="str">
        <f t="shared" si="65"/>
        <v>大专</v>
      </c>
      <c r="L144" t="str">
        <f t="shared" si="65"/>
        <v>大专</v>
      </c>
      <c r="M144" t="str">
        <f t="shared" si="63"/>
        <v>学前教育</v>
      </c>
      <c r="N144" t="str">
        <f>"阜阳职业技术学院"</f>
        <v>阜阳职业技术学院</v>
      </c>
      <c r="O144" t="str">
        <f>"2022 7"</f>
        <v>2022 7</v>
      </c>
      <c r="P144" t="str">
        <f>"大专"</f>
        <v>大专</v>
      </c>
      <c r="Q144" t="str">
        <f>"大专"</f>
        <v>大专</v>
      </c>
      <c r="R144" t="str">
        <f t="shared" si="64"/>
        <v>学前教育</v>
      </c>
      <c r="S144" t="str">
        <f>"阜阳职业技术学院"</f>
        <v>阜阳职业技术学院</v>
      </c>
      <c r="T144" t="str">
        <f>"阜阳职业技术学院"</f>
        <v>阜阳职业技术学院</v>
      </c>
      <c r="U144" t="str">
        <f>"幼儿园教师资格证"</f>
        <v>幼儿园教师资格证</v>
      </c>
      <c r="V144" t="str">
        <f>"在幼儿园实习一年"</f>
        <v>在幼儿园实习一年</v>
      </c>
      <c r="W144" t="str">
        <f>"教师"</f>
        <v>教师</v>
      </c>
      <c r="X144" t="str">
        <f t="shared" si="62"/>
        <v>是</v>
      </c>
      <c r="Y144" t="str">
        <f>"无"</f>
        <v>无</v>
      </c>
      <c r="Z144" t="str">
        <f>"13909670417"</f>
        <v>13909670417</v>
      </c>
      <c r="AA144" t="str">
        <f>"安徽省蒙城县漆园办事处土山村后孙庄"</f>
        <v>安徽省蒙城县漆园办事处土山村后孙庄</v>
      </c>
      <c r="AB144" s="1" t="str">
        <f>"2016.9-2019.6 蒙城六中  学生
2019.9-2022.6 阜阳职业技术学院   学习委员
2022.6-至今  在幼儿园工作一年"</f>
        <v>2016.9-2019.6 蒙城六中  学生
2019.9-2022.6 阜阳职业技术学院   学习委员
2022.6-至今  在幼儿园工作一年</v>
      </c>
      <c r="AC144" t="str">
        <f>"无"</f>
        <v>无</v>
      </c>
      <c r="AD144" t="str">
        <f>"舞蹈"</f>
        <v>舞蹈</v>
      </c>
      <c r="AE144" t="str">
        <f>"父女|孙云亮|个体||母女|王伟|个体||姐弟|孙雨恒||学生"</f>
        <v>父女|孙云亮|个体||母女|王伟|个体||姐弟|孙雨恒||学生</v>
      </c>
      <c r="AF144" s="2">
        <v>44986.64502314815</v>
      </c>
      <c r="AG144">
        <v>1</v>
      </c>
      <c r="AH144">
        <v>1</v>
      </c>
      <c r="AI144">
        <v>0</v>
      </c>
      <c r="AJ144" t="s">
        <v>185</v>
      </c>
      <c r="AK144" s="4" t="s">
        <v>264</v>
      </c>
      <c r="AL144" s="4" t="s">
        <v>264</v>
      </c>
      <c r="AM144" s="4" t="s">
        <v>264</v>
      </c>
      <c r="AN144">
        <v>0</v>
      </c>
    </row>
    <row r="145" spans="1:40" ht="18" customHeight="1">
      <c r="A145" t="str">
        <f>"141720230228153905340715"</f>
        <v>141720230228153905340715</v>
      </c>
      <c r="B145" t="s">
        <v>44</v>
      </c>
      <c r="C145" t="str">
        <f>"闫晗"</f>
        <v>闫晗</v>
      </c>
      <c r="D145" t="str">
        <f t="shared" si="61"/>
        <v>女</v>
      </c>
      <c r="E145" t="str">
        <f>"2002-07"</f>
        <v>2002-07</v>
      </c>
      <c r="F145" t="str">
        <f>"亳州市蒙城县"</f>
        <v>亳州市蒙城县</v>
      </c>
      <c r="G145" t="str">
        <f>"汉族"</f>
        <v>汉族</v>
      </c>
      <c r="H145" t="str">
        <f>"群众"</f>
        <v>群众</v>
      </c>
      <c r="I145" t="str">
        <f>"341622200207030220"</f>
        <v>341622200207030220</v>
      </c>
      <c r="J145" t="str">
        <f t="shared" si="56"/>
        <v>未婚</v>
      </c>
      <c r="K145" t="str">
        <f t="shared" si="65"/>
        <v>大专</v>
      </c>
      <c r="L145" t="str">
        <f t="shared" si="65"/>
        <v>大专</v>
      </c>
      <c r="M145" t="str">
        <f t="shared" si="63"/>
        <v>学前教育</v>
      </c>
      <c r="N145" t="str">
        <f>"马鞍山师范高等专科学校"</f>
        <v>马鞍山师范高等专科学校</v>
      </c>
      <c r="O145" t="str">
        <f>"2022.6.28"</f>
        <v>2022.6.28</v>
      </c>
      <c r="P145" t="str">
        <f>"大专"</f>
        <v>大专</v>
      </c>
      <c r="Q145" t="str">
        <f>"无"</f>
        <v>无</v>
      </c>
      <c r="R145" t="str">
        <f t="shared" si="64"/>
        <v>学前教育</v>
      </c>
      <c r="S145" t="str">
        <f>"马鞍山师范高等专科学校"</f>
        <v>马鞍山师范高等专科学校</v>
      </c>
      <c r="T145" t="str">
        <f>"2022.6.28"</f>
        <v>2022.6.28</v>
      </c>
      <c r="U145" t="str">
        <f>"幼儿园教师资格证  普通话二甲证书"</f>
        <v>幼儿园教师资格证  普通话二甲证书</v>
      </c>
      <c r="V145" t="str">
        <f>"半年"</f>
        <v>半年</v>
      </c>
      <c r="W145" t="str">
        <f>"无"</f>
        <v>无</v>
      </c>
      <c r="X145" t="str">
        <f t="shared" si="62"/>
        <v>是</v>
      </c>
      <c r="Y145" t="str">
        <f>"合肥肥东县实验教育集团"</f>
        <v>合肥肥东县实验教育集团</v>
      </c>
      <c r="Z145" t="str">
        <f>"17201656125"</f>
        <v>17201656125</v>
      </c>
      <c r="AA145" t="str">
        <f>"安徽省蒙城县城关镇润尔帝景苑10号楼1单元301户"</f>
        <v>安徽省蒙城县城关镇润尔帝景苑10号楼1单元301户</v>
      </c>
      <c r="AB145" s="1" t="str">
        <f>"2017.9-2019.7 宿州逸夫师范学校 学生 
2019.9-2022.6 马鞍山师范高等专科学校 学生
2022.9-至今 肥东县实验幼教集团 员工
"</f>
        <v>2017.9-2019.7 宿州逸夫师范学校 学生 
2019.9-2022.6 马鞍山师范高等专科学校 学生
2022.9-至今 肥东县实验幼教集团 员工
</v>
      </c>
      <c r="AC145" t="str">
        <f>"无"</f>
        <v>无</v>
      </c>
      <c r="AD145" t="str">
        <f>"跳舞、硬笔字"</f>
        <v>跳舞、硬笔字</v>
      </c>
      <c r="AE145" t="str">
        <f>"父女|闫峰|亳州蒙城戴庵小学|教师|母女|郁春莲|亳州蒙城戴庵小学|教师||||"</f>
        <v>父女|闫峰|亳州蒙城戴庵小学|教师|母女|郁春莲|亳州蒙城戴庵小学|教师||||</v>
      </c>
      <c r="AF145" s="2">
        <v>44987.525821759256</v>
      </c>
      <c r="AG145">
        <v>1</v>
      </c>
      <c r="AH145">
        <v>1</v>
      </c>
      <c r="AI145">
        <v>0</v>
      </c>
      <c r="AJ145" t="s">
        <v>186</v>
      </c>
      <c r="AK145" s="4" t="s">
        <v>264</v>
      </c>
      <c r="AL145" s="4" t="s">
        <v>264</v>
      </c>
      <c r="AM145" s="4" t="s">
        <v>264</v>
      </c>
      <c r="AN145">
        <v>0</v>
      </c>
    </row>
    <row r="146" spans="1:40" ht="18" customHeight="1">
      <c r="A146" t="str">
        <f>"141720230228175246340724"</f>
        <v>141720230228175246340724</v>
      </c>
      <c r="B146" t="s">
        <v>44</v>
      </c>
      <c r="C146" t="str">
        <f>"万慧敏"</f>
        <v>万慧敏</v>
      </c>
      <c r="D146" t="str">
        <f t="shared" si="61"/>
        <v>女</v>
      </c>
      <c r="E146" t="str">
        <f>"1992-07-16"</f>
        <v>1992-07-16</v>
      </c>
      <c r="F146" t="str">
        <f>"安徽省瑶海区"</f>
        <v>安徽省瑶海区</v>
      </c>
      <c r="G146" t="str">
        <f>"汉族"</f>
        <v>汉族</v>
      </c>
      <c r="H146" t="str">
        <f>"群众"</f>
        <v>群众</v>
      </c>
      <c r="I146" t="str">
        <f>"341281199207168142"</f>
        <v>341281199207168142</v>
      </c>
      <c r="J146" t="str">
        <f>"已婚"</f>
        <v>已婚</v>
      </c>
      <c r="K146" t="str">
        <f>"本科"</f>
        <v>本科</v>
      </c>
      <c r="L146" t="str">
        <f>"无"</f>
        <v>无</v>
      </c>
      <c r="M146" t="str">
        <f t="shared" si="63"/>
        <v>学前教育</v>
      </c>
      <c r="N146" t="str">
        <f>"合肥师范学院"</f>
        <v>合肥师范学院</v>
      </c>
      <c r="O146" t="str">
        <f>"2022年7月"</f>
        <v>2022年7月</v>
      </c>
      <c r="P146" t="str">
        <f>"中专"</f>
        <v>中专</v>
      </c>
      <c r="Q146" t="str">
        <f>"无"</f>
        <v>无</v>
      </c>
      <c r="R146" t="str">
        <f t="shared" si="64"/>
        <v>学前教育</v>
      </c>
      <c r="S146" t="str">
        <f>"亳州幼儿师范学校 "</f>
        <v>亳州幼儿师范学校 </v>
      </c>
      <c r="T146" t="str">
        <f>"2011年7月"</f>
        <v>2011年7月</v>
      </c>
      <c r="U146" t="str">
        <f>"幼儿园教师资格证"</f>
        <v>幼儿园教师资格证</v>
      </c>
      <c r="V146" t="str">
        <f>"10"</f>
        <v>10</v>
      </c>
      <c r="W146" t="str">
        <f>"三级教师"</f>
        <v>三级教师</v>
      </c>
      <c r="X146" t="str">
        <f t="shared" si="62"/>
        <v>是</v>
      </c>
      <c r="Y146" t="str">
        <f>"合肥市华英幼儿园"</f>
        <v>合肥市华英幼儿园</v>
      </c>
      <c r="Z146" t="str">
        <f>"18096614512"</f>
        <v>18096614512</v>
      </c>
      <c r="AA146" t="str">
        <f>"合肥市瑶海区方庙街道银领时代16栋1304"</f>
        <v>合肥市瑶海区方庙街道银领时代16栋1304</v>
      </c>
      <c r="AB146" s="1" t="str">
        <f>"2008.9-2011.7就读于亳州幼儿师范学校
2011.9-2012.12合肥市名郡小博士幼儿园任教师
2013.3-2015.7就读于合肥师范学院学前教育专业专科
2014.2-2019.7肥东童乐幼儿园任教师
2019.9至今合肥华英幼儿园任教师
2020.1-2022-7就读于合肥师范学院学前教育专业本科"</f>
        <v>2008.9-2011.7就读于亳州幼儿师范学校
2011.9-2012.12合肥市名郡小博士幼儿园任教师
2013.3-2015.7就读于合肥师范学院学前教育专业专科
2014.2-2019.7肥东童乐幼儿园任教师
2019.9至今合肥华英幼儿园任教师
2020.1-2022-7就读于合肥师范学院学前教育专业本科</v>
      </c>
      <c r="AC146" s="1" t="s">
        <v>53</v>
      </c>
      <c r="AD146" t="str">
        <f>"特长：讲故事、朗诵、舞蹈、唱歌"</f>
        <v>特长：讲故事、朗诵、舞蹈、唱歌</v>
      </c>
      <c r="AE146" t="str">
        <f>"配偶|王牛海|中原内配集团|工人||||||||"</f>
        <v>配偶|王牛海|中原内配集团|工人||||||||</v>
      </c>
      <c r="AF146" s="2">
        <v>44988.37766203703</v>
      </c>
      <c r="AG146">
        <v>1</v>
      </c>
      <c r="AH146">
        <v>1</v>
      </c>
      <c r="AI146">
        <v>0</v>
      </c>
      <c r="AJ146" t="s">
        <v>187</v>
      </c>
      <c r="AK146" s="4">
        <v>70.2</v>
      </c>
      <c r="AL146" s="4">
        <v>67.8</v>
      </c>
      <c r="AM146" s="4">
        <v>69</v>
      </c>
      <c r="AN146">
        <v>0</v>
      </c>
    </row>
    <row r="147" spans="1:40" ht="18" customHeight="1">
      <c r="A147" t="str">
        <f>"141720230228185706340729"</f>
        <v>141720230228185706340729</v>
      </c>
      <c r="B147" t="s">
        <v>44</v>
      </c>
      <c r="C147" t="str">
        <f>"查超群"</f>
        <v>查超群</v>
      </c>
      <c r="D147" t="str">
        <f t="shared" si="61"/>
        <v>女</v>
      </c>
      <c r="E147" t="str">
        <f>"1999.3"</f>
        <v>1999.3</v>
      </c>
      <c r="F147" t="str">
        <f>"安徽安庆"</f>
        <v>安徽安庆</v>
      </c>
      <c r="G147" t="str">
        <f>"汉族"</f>
        <v>汉族</v>
      </c>
      <c r="H147" t="str">
        <f>"共青团员"</f>
        <v>共青团员</v>
      </c>
      <c r="I147" t="str">
        <f>"340825199903210421"</f>
        <v>340825199903210421</v>
      </c>
      <c r="J147" t="str">
        <f aca="true" t="shared" si="66" ref="J147:J157">"未婚"</f>
        <v>未婚</v>
      </c>
      <c r="K147" t="str">
        <f>"大专"</f>
        <v>大专</v>
      </c>
      <c r="L147" t="str">
        <f>"无"</f>
        <v>无</v>
      </c>
      <c r="M147" t="str">
        <f t="shared" si="63"/>
        <v>学前教育</v>
      </c>
      <c r="N147" t="str">
        <f>"阜阳幼儿师范高等专科学校"</f>
        <v>阜阳幼儿师范高等专科学校</v>
      </c>
      <c r="O147" t="str">
        <f>"2021.7"</f>
        <v>2021.7</v>
      </c>
      <c r="P147" t="str">
        <f>"大专"</f>
        <v>大专</v>
      </c>
      <c r="Q147" t="str">
        <f>"无"</f>
        <v>无</v>
      </c>
      <c r="R147" t="str">
        <f t="shared" si="64"/>
        <v>学前教育</v>
      </c>
      <c r="S147" t="str">
        <f>"阜阳幼儿师范高等专科学校"</f>
        <v>阜阳幼儿师范高等专科学校</v>
      </c>
      <c r="T147" t="str">
        <f>"2021.7"</f>
        <v>2021.7</v>
      </c>
      <c r="U147" t="str">
        <f>"幼儿教师资格证"</f>
        <v>幼儿教师资格证</v>
      </c>
      <c r="V147" t="str">
        <f>"3"</f>
        <v>3</v>
      </c>
      <c r="W147" t="str">
        <f aca="true" t="shared" si="67" ref="W147:W160">"无"</f>
        <v>无</v>
      </c>
      <c r="X147" t="str">
        <f t="shared" si="62"/>
        <v>是</v>
      </c>
      <c r="Y147" t="str">
        <f>"合肥和谐花园幼儿园"</f>
        <v>合肥和谐花园幼儿园</v>
      </c>
      <c r="Z147" t="str">
        <f>"15755612998"</f>
        <v>15755612998</v>
      </c>
      <c r="AA147" t="str">
        <f>"合肥市蜀山区和谐花园小区"</f>
        <v>合肥市蜀山区和谐花园小区</v>
      </c>
      <c r="AB147" s="1" t="str">
        <f>"2015.9-2018.6徐桥高中学生
2018.9-2021.6阜阳幼儿师范高等专科学校学生
2020.9-2021.1蓝天幼儿园实习老师
2021.2-2021.8新思维辅导老师
2021.9-至今合肥和谐花园幼儿园老师"</f>
        <v>2015.9-2018.6徐桥高中学生
2018.9-2021.6阜阳幼儿师范高等专科学校学生
2020.9-2021.1蓝天幼儿园实习老师
2021.2-2021.8新思维辅导老师
2021.9-至今合肥和谐花园幼儿园老师</v>
      </c>
      <c r="AC147" t="str">
        <f>"无"</f>
        <v>无</v>
      </c>
      <c r="AD147" t="str">
        <f>"唱歌。沟通能力较强"</f>
        <v>唱歌。沟通能力较强</v>
      </c>
      <c r="AE147" t="str">
        <f>"父女|查文华|杭州服装厂|工人|母女|汪凤娥|杭州服装厂|工人|姐弟|查宇豪|滨湖职业技术学校|学生"</f>
        <v>父女|查文华|杭州服装厂|工人|母女|汪凤娥|杭州服装厂|工人|姐弟|查宇豪|滨湖职业技术学校|学生</v>
      </c>
      <c r="AF147" s="2">
        <v>44987.551828703705</v>
      </c>
      <c r="AG147">
        <v>1</v>
      </c>
      <c r="AH147">
        <v>1</v>
      </c>
      <c r="AI147">
        <v>0</v>
      </c>
      <c r="AJ147" t="s">
        <v>188</v>
      </c>
      <c r="AK147" s="4">
        <v>66</v>
      </c>
      <c r="AL147" s="4">
        <v>62.4</v>
      </c>
      <c r="AM147" s="4">
        <v>64.2</v>
      </c>
      <c r="AN147">
        <v>0</v>
      </c>
    </row>
    <row r="148" spans="1:40" ht="18" customHeight="1">
      <c r="A148" t="str">
        <f>"141720230228192727340734"</f>
        <v>141720230228192727340734</v>
      </c>
      <c r="B148" t="s">
        <v>44</v>
      </c>
      <c r="C148" t="str">
        <f>"王爱君"</f>
        <v>王爱君</v>
      </c>
      <c r="D148" t="str">
        <f t="shared" si="61"/>
        <v>女</v>
      </c>
      <c r="E148" t="str">
        <f>"1997-05"</f>
        <v>1997-05</v>
      </c>
      <c r="F148" t="str">
        <f>"安徽省合肥市"</f>
        <v>安徽省合肥市</v>
      </c>
      <c r="G148" t="str">
        <f>"少数民族"</f>
        <v>少数民族</v>
      </c>
      <c r="H148" t="str">
        <f>"群众"</f>
        <v>群众</v>
      </c>
      <c r="I148" t="str">
        <f>"340102199705120529"</f>
        <v>340102199705120529</v>
      </c>
      <c r="J148" t="str">
        <f t="shared" si="66"/>
        <v>未婚</v>
      </c>
      <c r="K148" t="str">
        <f>"大专"</f>
        <v>大专</v>
      </c>
      <c r="L148" t="str">
        <f>"无"</f>
        <v>无</v>
      </c>
      <c r="M148" t="str">
        <f t="shared" si="63"/>
        <v>学前教育</v>
      </c>
      <c r="N148" t="str">
        <f>"合肥师范学院"</f>
        <v>合肥师范学院</v>
      </c>
      <c r="O148" t="str">
        <f>"2017-07-01"</f>
        <v>2017-07-01</v>
      </c>
      <c r="P148" t="str">
        <f>"大专"</f>
        <v>大专</v>
      </c>
      <c r="Q148" t="str">
        <f>"无"</f>
        <v>无</v>
      </c>
      <c r="R148" t="str">
        <f t="shared" si="64"/>
        <v>学前教育</v>
      </c>
      <c r="S148" t="str">
        <f>"合肥师范学院"</f>
        <v>合肥师范学院</v>
      </c>
      <c r="T148" t="str">
        <f>"2017-07-01"</f>
        <v>2017-07-01</v>
      </c>
      <c r="U148" t="str">
        <f>"幼儿园教师资格证、普通话二级甲等等级证书"</f>
        <v>幼儿园教师资格证、普通话二级甲等等级证书</v>
      </c>
      <c r="V148" t="str">
        <f>"六年"</f>
        <v>六年</v>
      </c>
      <c r="W148" t="str">
        <f t="shared" si="67"/>
        <v>无</v>
      </c>
      <c r="X148" t="str">
        <f t="shared" si="62"/>
        <v>是</v>
      </c>
      <c r="Y148" t="str">
        <f>"合肥瑶海新海家园幼儿园"</f>
        <v>合肥瑶海新海家园幼儿园</v>
      </c>
      <c r="Z148" t="str">
        <f>"13956023915"</f>
        <v>13956023915</v>
      </c>
      <c r="AA148" t="str">
        <f>"安徽省合肥市瑶海区春晖里9栋101室"</f>
        <v>安徽省合肥市瑶海区春晖里9栋101室</v>
      </c>
      <c r="AB148" s="1" t="str">
        <f>"2012.9-2017.7 合肥师范学院 学生
2017.9-至今 合肥瑶海新海家园幼儿园 员工"</f>
        <v>2012.9-2017.7 合肥师范学院 学生
2017.9-至今 合肥瑶海新海家园幼儿园 员工</v>
      </c>
      <c r="AC148" t="str">
        <f>"在校期间评为县“优秀学生干部”，担任校学生会纪律部成员。"</f>
        <v>在校期间评为县“优秀学生干部”，担任校学生会纪律部成员。</v>
      </c>
      <c r="AD148" t="str">
        <f>"舞蹈 美术"</f>
        <v>舞蹈 美术</v>
      </c>
      <c r="AE148" t="str">
        <f>"父亲|王仁祥|合肥建筑段|工人|母亲|马祥平|退休|||||"</f>
        <v>父亲|王仁祥|合肥建筑段|工人|母亲|马祥平|退休|||||</v>
      </c>
      <c r="AF148" s="2">
        <v>44986.39542824074</v>
      </c>
      <c r="AG148">
        <v>1</v>
      </c>
      <c r="AH148">
        <v>1</v>
      </c>
      <c r="AI148">
        <v>0</v>
      </c>
      <c r="AJ148" t="s">
        <v>189</v>
      </c>
      <c r="AK148" s="4">
        <v>66.2</v>
      </c>
      <c r="AL148" s="4">
        <v>71.1</v>
      </c>
      <c r="AM148" s="4">
        <v>68.65</v>
      </c>
      <c r="AN148">
        <v>0</v>
      </c>
    </row>
    <row r="149" spans="1:40" ht="18" customHeight="1">
      <c r="A149" t="str">
        <f>"141720230228194104340736"</f>
        <v>141720230228194104340736</v>
      </c>
      <c r="B149" t="s">
        <v>44</v>
      </c>
      <c r="C149" t="str">
        <f>"马雨琪"</f>
        <v>马雨琪</v>
      </c>
      <c r="D149" t="str">
        <f t="shared" si="61"/>
        <v>女</v>
      </c>
      <c r="E149" t="str">
        <f>"2000-12"</f>
        <v>2000-12</v>
      </c>
      <c r="F149" t="str">
        <f>"安徽省亳州市蒙城县"</f>
        <v>安徽省亳州市蒙城县</v>
      </c>
      <c r="G149" t="str">
        <f aca="true" t="shared" si="68" ref="G149:G180">"汉族"</f>
        <v>汉族</v>
      </c>
      <c r="H149" t="str">
        <f>"共青团员"</f>
        <v>共青团员</v>
      </c>
      <c r="I149" t="str">
        <f>"341622200012187826"</f>
        <v>341622200012187826</v>
      </c>
      <c r="J149" t="str">
        <f t="shared" si="66"/>
        <v>未婚</v>
      </c>
      <c r="K149" t="str">
        <f>"大专"</f>
        <v>大专</v>
      </c>
      <c r="L149" t="str">
        <f>"专科"</f>
        <v>专科</v>
      </c>
      <c r="M149" t="str">
        <f t="shared" si="63"/>
        <v>学前教育</v>
      </c>
      <c r="N149" t="str">
        <f>"阜阳幼儿师范高等专科学校"</f>
        <v>阜阳幼儿师范高等专科学校</v>
      </c>
      <c r="O149" t="str">
        <f>"2022.07"</f>
        <v>2022.07</v>
      </c>
      <c r="P149" t="str">
        <f>"大专"</f>
        <v>大专</v>
      </c>
      <c r="Q149" t="str">
        <f>"大专"</f>
        <v>大专</v>
      </c>
      <c r="R149" t="str">
        <f t="shared" si="64"/>
        <v>学前教育</v>
      </c>
      <c r="S149" t="str">
        <f>"阜阳幼儿师范高等专科学校"</f>
        <v>阜阳幼儿师范高等专科学校</v>
      </c>
      <c r="T149" t="str">
        <f>"2022，07"</f>
        <v>2022，07</v>
      </c>
      <c r="U149" t="str">
        <f>"幼儿园教师资格证"</f>
        <v>幼儿园教师资格证</v>
      </c>
      <c r="V149" t="str">
        <f>"半年"</f>
        <v>半年</v>
      </c>
      <c r="W149" t="str">
        <f t="shared" si="67"/>
        <v>无</v>
      </c>
      <c r="X149" t="str">
        <f t="shared" si="62"/>
        <v>是</v>
      </c>
      <c r="Y149" t="str">
        <f>"无"</f>
        <v>无</v>
      </c>
      <c r="Z149" t="str">
        <f>"18056770922"</f>
        <v>18056770922</v>
      </c>
      <c r="AA149" t="str">
        <f>"安徽省亳州市蒙城县庄子小区E14栋304"</f>
        <v>安徽省亳州市蒙城县庄子小区E14栋304</v>
      </c>
      <c r="AB149" s="1" t="str">
        <f>"2016.9-2019.6蒙城县第八中学 学生
2019.9-2022.7阜阳幼儿师范高等专科学校
2022.9—2023.1蒙城县第三幼儿园  教师
"</f>
        <v>2016.9-2019.6蒙城县第八中学 学生
2019.9-2022.7阜阳幼儿师范高等专科学校
2022.9—2023.1蒙城县第三幼儿园  教师
</v>
      </c>
      <c r="AC149" t="str">
        <f>"无"</f>
        <v>无</v>
      </c>
      <c r="AD149" t="str">
        <f>"舞蹈，担任舞蹈老师"</f>
        <v>舞蹈，担任舞蹈老师</v>
      </c>
      <c r="AE149" t="str">
        <f>"父亲|马明|蒙城县坛城镇卫生院|放射科医师|母亲|孙进芳|蒙城县城管局|队员||||"</f>
        <v>父亲|马明|蒙城县坛城镇卫生院|放射科医师|母亲|孙进芳|蒙城县城管局|队员||||</v>
      </c>
      <c r="AF149" s="2">
        <v>44986.63859953704</v>
      </c>
      <c r="AG149">
        <v>1</v>
      </c>
      <c r="AH149">
        <v>1</v>
      </c>
      <c r="AI149">
        <v>0</v>
      </c>
      <c r="AJ149" t="s">
        <v>190</v>
      </c>
      <c r="AK149" s="4">
        <v>76.5</v>
      </c>
      <c r="AL149" s="4">
        <v>73.9</v>
      </c>
      <c r="AM149" s="4">
        <v>75.2</v>
      </c>
      <c r="AN149">
        <v>0</v>
      </c>
    </row>
    <row r="150" spans="1:40" ht="18" customHeight="1">
      <c r="A150" t="str">
        <f>"141720230228200809340739"</f>
        <v>141720230228200809340739</v>
      </c>
      <c r="B150" t="s">
        <v>44</v>
      </c>
      <c r="C150" t="str">
        <f>"马雨婷"</f>
        <v>马雨婷</v>
      </c>
      <c r="D150" t="str">
        <f t="shared" si="61"/>
        <v>女</v>
      </c>
      <c r="E150" t="str">
        <f>"2002-07-16"</f>
        <v>2002-07-16</v>
      </c>
      <c r="F150" t="str">
        <f>"安徽萧县"</f>
        <v>安徽萧县</v>
      </c>
      <c r="G150" t="str">
        <f t="shared" si="68"/>
        <v>汉族</v>
      </c>
      <c r="H150" t="str">
        <f>"共青团员"</f>
        <v>共青团员</v>
      </c>
      <c r="I150" t="str">
        <f>"341322200207162446"</f>
        <v>341322200207162446</v>
      </c>
      <c r="J150" t="str">
        <f t="shared" si="66"/>
        <v>未婚</v>
      </c>
      <c r="K150" t="str">
        <f>"大学"</f>
        <v>大学</v>
      </c>
      <c r="L150" t="str">
        <f>"学士学位"</f>
        <v>学士学位</v>
      </c>
      <c r="M150" t="str">
        <f t="shared" si="63"/>
        <v>学前教育</v>
      </c>
      <c r="N150" t="str">
        <f>"安徽新华学院"</f>
        <v>安徽新华学院</v>
      </c>
      <c r="O150" t="str">
        <f>"2023-06-28"</f>
        <v>2023-06-28</v>
      </c>
      <c r="P150" t="str">
        <f>"大学"</f>
        <v>大学</v>
      </c>
      <c r="Q150" t="str">
        <f>"学士学位"</f>
        <v>学士学位</v>
      </c>
      <c r="R150" t="str">
        <f t="shared" si="64"/>
        <v>学前教育</v>
      </c>
      <c r="S150" t="str">
        <f>"安徽新华学院"</f>
        <v>安徽新华学院</v>
      </c>
      <c r="T150" t="str">
        <f>"2023-06-28"</f>
        <v>2023-06-28</v>
      </c>
      <c r="U150" t="str">
        <f>"幼师资格证"</f>
        <v>幼师资格证</v>
      </c>
      <c r="V150" t="str">
        <f>"无"</f>
        <v>无</v>
      </c>
      <c r="W150" t="str">
        <f t="shared" si="67"/>
        <v>无</v>
      </c>
      <c r="X150" t="str">
        <f t="shared" si="62"/>
        <v>是</v>
      </c>
      <c r="Y150" t="str">
        <f>"无"</f>
        <v>无</v>
      </c>
      <c r="Z150" t="str">
        <f>"19855075088"</f>
        <v>19855075088</v>
      </c>
      <c r="AA150" t="str">
        <f>"安徽省合肥市安徽新华学院"</f>
        <v>安徽省合肥市安徽新华学院</v>
      </c>
      <c r="AB150" t="str">
        <f>"2019.9-2023.3安徽新华学院 学生"</f>
        <v>2019.9-2023.3安徽新华学院 学生</v>
      </c>
      <c r="AC150" t="str">
        <f>"校级奖学金"</f>
        <v>校级奖学金</v>
      </c>
      <c r="AD150" t="str">
        <f>"舞蹈"</f>
        <v>舞蹈</v>
      </c>
      <c r="AE150" t="str">
        <f>"母女|朱晓芳|安徽省宿州市萧县妇幼保健院|医生|父女|马伟|无|务农||||"</f>
        <v>母女|朱晓芳|安徽省宿州市萧县妇幼保健院|医生|父女|马伟|无|务农||||</v>
      </c>
      <c r="AF150" s="2">
        <v>44986.39693287037</v>
      </c>
      <c r="AG150">
        <v>1</v>
      </c>
      <c r="AH150">
        <v>1</v>
      </c>
      <c r="AI150">
        <v>0</v>
      </c>
      <c r="AJ150" t="s">
        <v>191</v>
      </c>
      <c r="AK150" s="4">
        <v>66.6</v>
      </c>
      <c r="AL150" s="4">
        <v>69.6</v>
      </c>
      <c r="AM150" s="4">
        <v>68.1</v>
      </c>
      <c r="AN150">
        <v>0</v>
      </c>
    </row>
    <row r="151" spans="1:40" ht="18" customHeight="1">
      <c r="A151" t="str">
        <f>"141720230228201503340741"</f>
        <v>141720230228201503340741</v>
      </c>
      <c r="B151" t="s">
        <v>44</v>
      </c>
      <c r="C151" t="str">
        <f>"卫娜"</f>
        <v>卫娜</v>
      </c>
      <c r="D151" t="str">
        <f t="shared" si="61"/>
        <v>女</v>
      </c>
      <c r="E151" t="str">
        <f>"1997-05"</f>
        <v>1997-05</v>
      </c>
      <c r="F151" t="str">
        <f>"安徽庐阳区"</f>
        <v>安徽庐阳区</v>
      </c>
      <c r="G151" t="str">
        <f t="shared" si="68"/>
        <v>汉族</v>
      </c>
      <c r="H151" t="str">
        <f>"群众"</f>
        <v>群众</v>
      </c>
      <c r="I151" t="str">
        <f>"342422199705224460"</f>
        <v>342422199705224460</v>
      </c>
      <c r="J151" t="str">
        <f t="shared" si="66"/>
        <v>未婚</v>
      </c>
      <c r="K151" t="str">
        <f>"本科"</f>
        <v>本科</v>
      </c>
      <c r="L151" t="str">
        <f>"学士"</f>
        <v>学士</v>
      </c>
      <c r="M151" t="str">
        <f t="shared" si="63"/>
        <v>学前教育</v>
      </c>
      <c r="N151" t="str">
        <f>"阜阳师范大学"</f>
        <v>阜阳师范大学</v>
      </c>
      <c r="O151" t="str">
        <f>"2019-7"</f>
        <v>2019-7</v>
      </c>
      <c r="P151" t="str">
        <f>"本科"</f>
        <v>本科</v>
      </c>
      <c r="Q151" t="str">
        <f>"学士"</f>
        <v>学士</v>
      </c>
      <c r="R151" t="str">
        <f t="shared" si="64"/>
        <v>学前教育</v>
      </c>
      <c r="S151" t="str">
        <f>"阜阳师范大学"</f>
        <v>阜阳师范大学</v>
      </c>
      <c r="T151" t="str">
        <f>"2019-7"</f>
        <v>2019-7</v>
      </c>
      <c r="U151" t="str">
        <f>"幼儿园教师资格证，普通话证书，小学语文教师资格证，初中英语教师资格证"</f>
        <v>幼儿园教师资格证，普通话证书，小学语文教师资格证，初中英语教师资格证</v>
      </c>
      <c r="V151" t="str">
        <f>"2年"</f>
        <v>2年</v>
      </c>
      <c r="W151" t="str">
        <f t="shared" si="67"/>
        <v>无</v>
      </c>
      <c r="X151" t="str">
        <f t="shared" si="62"/>
        <v>是</v>
      </c>
      <c r="Y151" t="str">
        <f>"暂无"</f>
        <v>暂无</v>
      </c>
      <c r="Z151" t="str">
        <f>"15720584104"</f>
        <v>15720584104</v>
      </c>
      <c r="AA151" t="str">
        <f>"安徽省庐阳区义仓巷"</f>
        <v>安徽省庐阳区义仓巷</v>
      </c>
      <c r="AB151" s="1" t="str">
        <f>"2012.9-2015.6 寿县一中 学生     
2015.9-2019.7 阜阳师范大学 学生     
2020.9-2021.3 桑尼教育 辅导老师     
2021.9-2022.6 合肥市湖东小学 英语教师
"</f>
        <v>2012.9-2015.6 寿县一中 学生     
2015.9-2019.7 阜阳师范大学 学生     
2020.9-2021.3 桑尼教育 辅导老师     
2021.9-2022.6 合肥市湖东小学 英语教师
</v>
      </c>
      <c r="AC151" t="str">
        <f>"无"</f>
        <v>无</v>
      </c>
      <c r="AD151" t="str">
        <f>"打羽毛球、唱歌、画画"</f>
        <v>打羽毛球、唱歌、画画</v>
      </c>
      <c r="AE151" t="str">
        <f>"父女|卫寿明|众佳房产|经理|母女|周云|无|无||||"</f>
        <v>父女|卫寿明|众佳房产|经理|母女|周云|无|无||||</v>
      </c>
      <c r="AF151" s="2">
        <v>44986.386967592596</v>
      </c>
      <c r="AG151">
        <v>1</v>
      </c>
      <c r="AH151">
        <v>1</v>
      </c>
      <c r="AI151">
        <v>0</v>
      </c>
      <c r="AJ151" t="s">
        <v>192</v>
      </c>
      <c r="AK151" s="4" t="s">
        <v>264</v>
      </c>
      <c r="AL151" s="4" t="s">
        <v>264</v>
      </c>
      <c r="AM151" s="4" t="s">
        <v>264</v>
      </c>
      <c r="AN151">
        <v>0</v>
      </c>
    </row>
    <row r="152" spans="1:40" ht="18" customHeight="1">
      <c r="A152" t="str">
        <f>"141720230228203313340742"</f>
        <v>141720230228203313340742</v>
      </c>
      <c r="B152" t="s">
        <v>44</v>
      </c>
      <c r="C152" t="str">
        <f>"卫韦"</f>
        <v>卫韦</v>
      </c>
      <c r="D152" t="str">
        <f t="shared" si="61"/>
        <v>女</v>
      </c>
      <c r="E152" t="str">
        <f>"1998-11"</f>
        <v>1998-11</v>
      </c>
      <c r="F152" t="str">
        <f>"安徽肥西县"</f>
        <v>安徽肥西县</v>
      </c>
      <c r="G152" t="str">
        <f t="shared" si="68"/>
        <v>汉族</v>
      </c>
      <c r="H152" t="str">
        <f>"中共党员"</f>
        <v>中共党员</v>
      </c>
      <c r="I152" t="str">
        <f>"340122199811144829"</f>
        <v>340122199811144829</v>
      </c>
      <c r="J152" t="str">
        <f t="shared" si="66"/>
        <v>未婚</v>
      </c>
      <c r="K152" t="str">
        <f>"本科"</f>
        <v>本科</v>
      </c>
      <c r="L152" t="str">
        <f>"学士"</f>
        <v>学士</v>
      </c>
      <c r="M152" t="str">
        <f t="shared" si="63"/>
        <v>学前教育</v>
      </c>
      <c r="N152" t="str">
        <f>"淮北师范大学"</f>
        <v>淮北师范大学</v>
      </c>
      <c r="O152" t="str">
        <f>"2021-7-1"</f>
        <v>2021-7-1</v>
      </c>
      <c r="P152" t="str">
        <f>"本科"</f>
        <v>本科</v>
      </c>
      <c r="Q152" t="str">
        <f>"学士"</f>
        <v>学士</v>
      </c>
      <c r="R152" t="str">
        <f t="shared" si="64"/>
        <v>学前教育</v>
      </c>
      <c r="S152" t="str">
        <f>"淮北师范大学"</f>
        <v>淮北师范大学</v>
      </c>
      <c r="T152" t="str">
        <f>"2021-7-1"</f>
        <v>2021-7-1</v>
      </c>
      <c r="U152" t="str">
        <f>"幼儿园教师资格证、普通话水平测试二级甲等、计算机一级、全国大学英语四级、"</f>
        <v>幼儿园教师资格证、普通话水平测试二级甲等、计算机一级、全国大学英语四级、</v>
      </c>
      <c r="V152" t="str">
        <f>"一年半"</f>
        <v>一年半</v>
      </c>
      <c r="W152" t="str">
        <f t="shared" si="67"/>
        <v>无</v>
      </c>
      <c r="X152" t="str">
        <f t="shared" si="62"/>
        <v>是</v>
      </c>
      <c r="Y152" t="str">
        <f>"江苏第二师范学院附属红星街幼儿园"</f>
        <v>江苏第二师范学院附属红星街幼儿园</v>
      </c>
      <c r="Z152" t="str">
        <f>"15345618475"</f>
        <v>15345618475</v>
      </c>
      <c r="AA152" t="str">
        <f>"江苏省南京市建邺区江心洲街道绿洲苑12栋1006室"</f>
        <v>江苏省南京市建邺区江心洲街道绿洲苑12栋1006室</v>
      </c>
      <c r="AB152" s="1" t="str">
        <f>"2014.7-2017.7 合肥一六八中学 学生
2017.9-2021.7  淮北师范大学 学生
2021.9-至今 江苏第二师范学院附属红星街幼儿园"</f>
        <v>2014.7-2017.7 合肥一六八中学 学生
2017.9-2021.7  淮北师范大学 学生
2021.9-至今 江苏第二师范学院附属红星街幼儿园</v>
      </c>
      <c r="AC152" t="str">
        <f>"案例《幼儿园里的桔子》区级三等奖、区级公开课《我会扫地》"</f>
        <v>案例《幼儿园里的桔子》区级三等奖、区级公开课《我会扫地》</v>
      </c>
      <c r="AD152" t="str">
        <f>"讲故事"</f>
        <v>讲故事</v>
      </c>
      <c r="AE152" t="str">
        <f>"父亲|卫平海|安徽省肥西县山南镇小井庄村张兴庄村民组|农民|母亲|廖圣勤|安徽省肥西县山南镇小井庄村张兴庄村民组|农民||||"</f>
        <v>父亲|卫平海|安徽省肥西县山南镇小井庄村张兴庄村民组|农民|母亲|廖圣勤|安徽省肥西县山南镇小井庄村张兴庄村民组|农民||||</v>
      </c>
      <c r="AF152" s="2">
        <v>44986.389502314814</v>
      </c>
      <c r="AG152">
        <v>1</v>
      </c>
      <c r="AH152">
        <v>1</v>
      </c>
      <c r="AI152">
        <v>0</v>
      </c>
      <c r="AJ152" t="s">
        <v>193</v>
      </c>
      <c r="AK152" s="4">
        <v>70</v>
      </c>
      <c r="AL152" s="4">
        <v>65.4</v>
      </c>
      <c r="AM152" s="4">
        <v>67.7</v>
      </c>
      <c r="AN152">
        <v>0</v>
      </c>
    </row>
    <row r="153" spans="1:40" ht="18" customHeight="1">
      <c r="A153" t="str">
        <f>"141720230228204049340744"</f>
        <v>141720230228204049340744</v>
      </c>
      <c r="B153" t="s">
        <v>44</v>
      </c>
      <c r="C153" t="str">
        <f>"叶雨晴"</f>
        <v>叶雨晴</v>
      </c>
      <c r="D153" t="str">
        <f t="shared" si="61"/>
        <v>女</v>
      </c>
      <c r="E153" t="str">
        <f>"1998－03"</f>
        <v>1998－03</v>
      </c>
      <c r="F153" t="str">
        <f>"安徽省芜湖市"</f>
        <v>安徽省芜湖市</v>
      </c>
      <c r="G153" t="str">
        <f t="shared" si="68"/>
        <v>汉族</v>
      </c>
      <c r="H153" t="str">
        <f>"共青团员"</f>
        <v>共青团员</v>
      </c>
      <c r="I153" t="str">
        <f>"34262319980324792X"</f>
        <v>34262319980324792X</v>
      </c>
      <c r="J153" t="str">
        <f t="shared" si="66"/>
        <v>未婚</v>
      </c>
      <c r="K153" t="str">
        <f>"本科"</f>
        <v>本科</v>
      </c>
      <c r="L153" t="str">
        <f>"学士"</f>
        <v>学士</v>
      </c>
      <c r="M153" t="str">
        <f t="shared" si="63"/>
        <v>学前教育</v>
      </c>
      <c r="N153" t="str">
        <f>"黄山学院"</f>
        <v>黄山学院</v>
      </c>
      <c r="O153" t="str">
        <f>"2021年7月"</f>
        <v>2021年7月</v>
      </c>
      <c r="P153" t="str">
        <f>"本科"</f>
        <v>本科</v>
      </c>
      <c r="Q153" t="str">
        <f>"学士"</f>
        <v>学士</v>
      </c>
      <c r="R153" t="str">
        <f t="shared" si="64"/>
        <v>学前教育</v>
      </c>
      <c r="S153" t="str">
        <f>"黄山学院"</f>
        <v>黄山学院</v>
      </c>
      <c r="T153" t="str">
        <f>"2021年9月"</f>
        <v>2021年9月</v>
      </c>
      <c r="U153" t="str">
        <f>"幼儿园教师资格证"</f>
        <v>幼儿园教师资格证</v>
      </c>
      <c r="V153" t="str">
        <f>"2年"</f>
        <v>2年</v>
      </c>
      <c r="W153" t="str">
        <f t="shared" si="67"/>
        <v>无</v>
      </c>
      <c r="X153" t="str">
        <f t="shared" si="62"/>
        <v>是</v>
      </c>
      <c r="Y153" t="str">
        <f>"蒙特梭利儿童之家"</f>
        <v>蒙特梭利儿童之家</v>
      </c>
      <c r="Z153" t="str">
        <f>"15705538577"</f>
        <v>15705538577</v>
      </c>
      <c r="AA153" t="str">
        <f>"安徽省合肥市包河区滨湖世纪社区"</f>
        <v>安徽省合肥市包河区滨湖世纪社区</v>
      </c>
      <c r="AB153" s="1" t="str">
        <f>"2013.9－2016.6  华星学校  学生
2016.9－2019.6  芜湖职业技术学院  学生
2019.9－2021.6  黄山学院    学生
2021.11－至今  蒙特梭利儿童之家  员工"</f>
        <v>2013.9－2016.6  华星学校  学生
2016.9－2019.6  芜湖职业技术学院  学生
2019.9－2021.6  黄山学院    学生
2021.11－至今  蒙特梭利儿童之家  员工</v>
      </c>
      <c r="AC153" t="str">
        <f>"无"</f>
        <v>无</v>
      </c>
      <c r="AD153" t="str">
        <f>"钢琴"</f>
        <v>钢琴</v>
      </c>
      <c r="AE153" t="str">
        <f>"母女|刘云|无|务农|父女|叶明刚|无|务农|姐弟|叶博宇|无|学生"</f>
        <v>母女|刘云|无|务农|父女|叶明刚|无|务农|姐弟|叶博宇|无|学生</v>
      </c>
      <c r="AF153" s="2">
        <v>44986.64113425926</v>
      </c>
      <c r="AG153">
        <v>1</v>
      </c>
      <c r="AH153">
        <v>1</v>
      </c>
      <c r="AI153">
        <v>0</v>
      </c>
      <c r="AJ153" t="s">
        <v>194</v>
      </c>
      <c r="AK153" s="4">
        <v>81.3</v>
      </c>
      <c r="AL153" s="4">
        <v>72.3</v>
      </c>
      <c r="AM153" s="4">
        <v>76.8</v>
      </c>
      <c r="AN153">
        <v>0</v>
      </c>
    </row>
    <row r="154" spans="1:40" ht="18" customHeight="1">
      <c r="A154" t="str">
        <f>"141720230228210800340745"</f>
        <v>141720230228210800340745</v>
      </c>
      <c r="B154" t="s">
        <v>44</v>
      </c>
      <c r="C154" t="str">
        <f>"董倩倩"</f>
        <v>董倩倩</v>
      </c>
      <c r="D154" t="str">
        <f t="shared" si="61"/>
        <v>女</v>
      </c>
      <c r="E154" t="str">
        <f>"2001-5"</f>
        <v>2001-5</v>
      </c>
      <c r="F154" t="str">
        <f>"安徽阜阳市"</f>
        <v>安徽阜阳市</v>
      </c>
      <c r="G154" t="str">
        <f t="shared" si="68"/>
        <v>汉族</v>
      </c>
      <c r="H154" t="str">
        <f>"共青团员"</f>
        <v>共青团员</v>
      </c>
      <c r="I154" t="str">
        <f>"341203200105251929"</f>
        <v>341203200105251929</v>
      </c>
      <c r="J154" t="str">
        <f t="shared" si="66"/>
        <v>未婚</v>
      </c>
      <c r="K154" t="str">
        <f>"大专"</f>
        <v>大专</v>
      </c>
      <c r="L154" t="str">
        <f>"无"</f>
        <v>无</v>
      </c>
      <c r="M154" t="str">
        <f t="shared" si="63"/>
        <v>学前教育</v>
      </c>
      <c r="N154" t="str">
        <f>"阜阳职业技术学院"</f>
        <v>阜阳职业技术学院</v>
      </c>
      <c r="O154" t="str">
        <f>"2021.7"</f>
        <v>2021.7</v>
      </c>
      <c r="P154" t="str">
        <f>"大专"</f>
        <v>大专</v>
      </c>
      <c r="Q154" t="str">
        <f>"无"</f>
        <v>无</v>
      </c>
      <c r="R154" t="str">
        <f t="shared" si="64"/>
        <v>学前教育</v>
      </c>
      <c r="S154" t="str">
        <f>"阜阳职业技术学院"</f>
        <v>阜阳职业技术学院</v>
      </c>
      <c r="T154" t="str">
        <f>"2021.7"</f>
        <v>2021.7</v>
      </c>
      <c r="U154" t="str">
        <f>"幼儿教师资格证、普通话二级甲等证书"</f>
        <v>幼儿教师资格证、普通话二级甲等证书</v>
      </c>
      <c r="V154" t="str">
        <f>"2年"</f>
        <v>2年</v>
      </c>
      <c r="W154" t="str">
        <f t="shared" si="67"/>
        <v>无</v>
      </c>
      <c r="X154" t="str">
        <f t="shared" si="62"/>
        <v>是</v>
      </c>
      <c r="Y154" t="str">
        <f>"阜阳市颍东区大河城章幼儿园"</f>
        <v>阜阳市颍东区大河城章幼儿园</v>
      </c>
      <c r="Z154" t="str">
        <f>"17356888971"</f>
        <v>17356888971</v>
      </c>
      <c r="AA154" t="str">
        <f>"安徽省阜阳市"</f>
        <v>安徽省阜阳市</v>
      </c>
      <c r="AB154" s="1" t="str">
        <f>"2016.9-2018.7阜阳职业技术学校 学生
2018.9-2021.7阜阳职业技术学院 学生
2021.2-2022.7和谐幼儿园江湾城分园 教师
2022.7至今和谐幼儿园大河城章分园 教师"</f>
        <v>2016.9-2018.7阜阳职业技术学校 学生
2018.9-2021.7阜阳职业技术学院 学生
2021.2-2022.7和谐幼儿园江湾城分园 教师
2022.7至今和谐幼儿园大河城章分园 教师</v>
      </c>
      <c r="AC154" t="str">
        <f>"无"</f>
        <v>无</v>
      </c>
      <c r="AD154" t="str">
        <f>"唱歌 手工 钢琴"</f>
        <v>唱歌 手工 钢琴</v>
      </c>
      <c r="AE154" t="str">
        <f>"父亲|董勇 |无|务农|母亲|兰玉红 |无|务农||||"</f>
        <v>父亲|董勇 |无|务农|母亲|兰玉红 |无|务农||||</v>
      </c>
      <c r="AF154" s="2">
        <v>44986.39125</v>
      </c>
      <c r="AG154">
        <v>1</v>
      </c>
      <c r="AH154">
        <v>1</v>
      </c>
      <c r="AI154">
        <v>0</v>
      </c>
      <c r="AJ154" t="s">
        <v>195</v>
      </c>
      <c r="AK154" s="4">
        <v>63.7</v>
      </c>
      <c r="AL154" s="4">
        <v>53.3</v>
      </c>
      <c r="AM154" s="4">
        <v>58.5</v>
      </c>
      <c r="AN154">
        <v>0</v>
      </c>
    </row>
    <row r="155" spans="1:40" ht="18" customHeight="1">
      <c r="A155" t="str">
        <f>"141720230228210942340746"</f>
        <v>141720230228210942340746</v>
      </c>
      <c r="B155" t="s">
        <v>44</v>
      </c>
      <c r="C155" t="str">
        <f>"陈慧"</f>
        <v>陈慧</v>
      </c>
      <c r="D155" t="str">
        <f t="shared" si="61"/>
        <v>女</v>
      </c>
      <c r="E155" t="str">
        <f>"2000年11月1日"</f>
        <v>2000年11月1日</v>
      </c>
      <c r="F155" t="str">
        <f>"安徽省滁州市"</f>
        <v>安徽省滁州市</v>
      </c>
      <c r="G155" t="str">
        <f t="shared" si="68"/>
        <v>汉族</v>
      </c>
      <c r="H155" t="str">
        <f>"共青团员"</f>
        <v>共青团员</v>
      </c>
      <c r="I155" t="str">
        <f>"341125200011010203"</f>
        <v>341125200011010203</v>
      </c>
      <c r="J155" t="str">
        <f t="shared" si="66"/>
        <v>未婚</v>
      </c>
      <c r="K155" t="str">
        <f>"专科"</f>
        <v>专科</v>
      </c>
      <c r="L155" t="str">
        <f>"无"</f>
        <v>无</v>
      </c>
      <c r="M155" t="str">
        <f t="shared" si="63"/>
        <v>学前教育</v>
      </c>
      <c r="N155" t="str">
        <f>"阜阳幼儿高等专科学校"</f>
        <v>阜阳幼儿高等专科学校</v>
      </c>
      <c r="O155" t="str">
        <f>"2022年6月"</f>
        <v>2022年6月</v>
      </c>
      <c r="P155" t="str">
        <f>"专科"</f>
        <v>专科</v>
      </c>
      <c r="Q155" t="str">
        <f>"无"</f>
        <v>无</v>
      </c>
      <c r="R155" t="str">
        <f t="shared" si="64"/>
        <v>学前教育</v>
      </c>
      <c r="S155" t="str">
        <f>"阜阳幼儿高等专科学校"</f>
        <v>阜阳幼儿高等专科学校</v>
      </c>
      <c r="T155" t="str">
        <f>"2022年6月"</f>
        <v>2022年6月</v>
      </c>
      <c r="U155" t="str">
        <f>"幼儿园教师资格证"</f>
        <v>幼儿园教师资格证</v>
      </c>
      <c r="V155" t="str">
        <f>"1年"</f>
        <v>1年</v>
      </c>
      <c r="W155" t="str">
        <f t="shared" si="67"/>
        <v>无</v>
      </c>
      <c r="X155" t="str">
        <f t="shared" si="62"/>
        <v>是</v>
      </c>
      <c r="Y155" t="str">
        <f>"长丰县直属机关幼儿园恒大帝景分园"</f>
        <v>长丰县直属机关幼儿园恒大帝景分园</v>
      </c>
      <c r="Z155" t="str">
        <f>"18726622184"</f>
        <v>18726622184</v>
      </c>
      <c r="AA155" t="str">
        <f>"租房"</f>
        <v>租房</v>
      </c>
      <c r="AB155" s="1" t="str">
        <f>"2017至2020肥西师范学生
2021至2022爱乐祺早教托育机构单位员工
2022至2023长丰县直属机关幼儿园恒大帝景分园单位员工"</f>
        <v>2017至2020肥西师范学生
2021至2022爱乐祺早教托育机构单位员工
2022至2023长丰县直属机关幼儿园恒大帝景分园单位员工</v>
      </c>
      <c r="AC155" t="str">
        <f>"无"</f>
        <v>无</v>
      </c>
      <c r="AD155" t="str">
        <f>"无"</f>
        <v>无</v>
      </c>
      <c r="AE155" t="str">
        <f>"父女|陈志兵|个体|无|母女|黄喜艳|个体|无|姐弟|陈龙|学生|无"</f>
        <v>父女|陈志兵|个体|无|母女|黄喜艳|个体|无|姐弟|陈龙|学生|无</v>
      </c>
      <c r="AF155" s="2">
        <v>44986.38998842592</v>
      </c>
      <c r="AG155">
        <v>1</v>
      </c>
      <c r="AH155">
        <v>1</v>
      </c>
      <c r="AI155">
        <v>0</v>
      </c>
      <c r="AJ155" t="s">
        <v>196</v>
      </c>
      <c r="AK155" s="4">
        <v>53.5</v>
      </c>
      <c r="AL155" s="4">
        <v>49.7</v>
      </c>
      <c r="AM155" s="4">
        <v>51.6</v>
      </c>
      <c r="AN155">
        <v>0</v>
      </c>
    </row>
    <row r="156" spans="1:40" ht="18" customHeight="1">
      <c r="A156" t="str">
        <f>"141720230228211248340748"</f>
        <v>141720230228211248340748</v>
      </c>
      <c r="B156" t="s">
        <v>44</v>
      </c>
      <c r="C156" t="str">
        <f>"王雅丽"</f>
        <v>王雅丽</v>
      </c>
      <c r="D156" t="str">
        <f t="shared" si="61"/>
        <v>女</v>
      </c>
      <c r="E156" t="str">
        <f>"1996-11"</f>
        <v>1996-11</v>
      </c>
      <c r="F156" t="str">
        <f>"安徽省潜山市"</f>
        <v>安徽省潜山市</v>
      </c>
      <c r="G156" t="str">
        <f t="shared" si="68"/>
        <v>汉族</v>
      </c>
      <c r="H156" t="str">
        <f>"群众"</f>
        <v>群众</v>
      </c>
      <c r="I156" t="str">
        <f>"340824199611213421"</f>
        <v>340824199611213421</v>
      </c>
      <c r="J156" t="str">
        <f t="shared" si="66"/>
        <v>未婚</v>
      </c>
      <c r="K156" t="str">
        <f>"本科"</f>
        <v>本科</v>
      </c>
      <c r="L156" t="str">
        <f>"无"</f>
        <v>无</v>
      </c>
      <c r="M156" t="str">
        <f t="shared" si="63"/>
        <v>学前教育</v>
      </c>
      <c r="N156" t="str">
        <f>"滁州学院"</f>
        <v>滁州学院</v>
      </c>
      <c r="O156" t="str">
        <f>"2023-06"</f>
        <v>2023-06</v>
      </c>
      <c r="P156" t="str">
        <f>"大专"</f>
        <v>大专</v>
      </c>
      <c r="Q156" t="str">
        <f>"无"</f>
        <v>无</v>
      </c>
      <c r="R156" t="str">
        <f t="shared" si="64"/>
        <v>学前教育</v>
      </c>
      <c r="S156" t="str">
        <f>"西南大学"</f>
        <v>西南大学</v>
      </c>
      <c r="T156" t="str">
        <f>"2016-06"</f>
        <v>2016-06</v>
      </c>
      <c r="U156" t="str">
        <f>"幼儿园教师资格证"</f>
        <v>幼儿园教师资格证</v>
      </c>
      <c r="V156" t="str">
        <f>"7"</f>
        <v>7</v>
      </c>
      <c r="W156" t="str">
        <f t="shared" si="67"/>
        <v>无</v>
      </c>
      <c r="X156" t="str">
        <f t="shared" si="62"/>
        <v>是</v>
      </c>
      <c r="Y156" t="str">
        <f>"东方剑桥家天下幼儿园"</f>
        <v>东方剑桥家天下幼儿园</v>
      </c>
      <c r="Z156" t="str">
        <f>"18755134760"</f>
        <v>18755134760</v>
      </c>
      <c r="AA156" t="str">
        <f>"安徽省合肥市新站区兴华苑"</f>
        <v>安徽省合肥市新站区兴华苑</v>
      </c>
      <c r="AB156" s="1" t="str">
        <f>"2013年～2016年西南大学专科学前教育（学生）
2016年合肥滨湖明珠幼儿园实习
2016-2018滨湖明珠幼儿园  
2018-2023东方剑桥家天下幼儿园
2020-2023滁州学院（学生）"</f>
        <v>2013年～2016年西南大学专科学前教育（学生）
2016年合肥滨湖明珠幼儿园实习
2016-2018滨湖明珠幼儿园  
2018-2023东方剑桥家天下幼儿园
2020-2023滁州学院（学生）</v>
      </c>
      <c r="AC156" t="str">
        <f>"无"</f>
        <v>无</v>
      </c>
      <c r="AD156" t="str">
        <f>"无"</f>
        <v>无</v>
      </c>
      <c r="AE156" t="str">
        <f>"母亲|方绿青|无|无|父亲|王回宝|无|无|妹妹|王雯丽|无|无"</f>
        <v>母亲|方绿青|无|无|父亲|王回宝|无|无|妹妹|王雯丽|无|无</v>
      </c>
      <c r="AF156" s="2">
        <v>44986.38444444445</v>
      </c>
      <c r="AG156">
        <v>1</v>
      </c>
      <c r="AH156">
        <v>1</v>
      </c>
      <c r="AI156">
        <v>0</v>
      </c>
      <c r="AJ156" t="s">
        <v>197</v>
      </c>
      <c r="AK156" s="4">
        <v>55.5</v>
      </c>
      <c r="AL156" s="4">
        <v>54</v>
      </c>
      <c r="AM156" s="4">
        <v>54.75</v>
      </c>
      <c r="AN156">
        <v>0</v>
      </c>
    </row>
    <row r="157" spans="1:40" ht="18" customHeight="1">
      <c r="A157" t="str">
        <f>"141720230228213119340750"</f>
        <v>141720230228213119340750</v>
      </c>
      <c r="B157" t="s">
        <v>44</v>
      </c>
      <c r="C157" t="str">
        <f>"郑天泽"</f>
        <v>郑天泽</v>
      </c>
      <c r="D157" t="str">
        <f>"男"</f>
        <v>男</v>
      </c>
      <c r="E157" t="str">
        <f>"1999.3"</f>
        <v>1999.3</v>
      </c>
      <c r="F157" t="str">
        <f>"安徽蒙城县"</f>
        <v>安徽蒙城县</v>
      </c>
      <c r="G157" t="str">
        <f t="shared" si="68"/>
        <v>汉族</v>
      </c>
      <c r="H157" t="str">
        <f>"中共党员"</f>
        <v>中共党员</v>
      </c>
      <c r="I157" t="str">
        <f>"341224199903150213"</f>
        <v>341224199903150213</v>
      </c>
      <c r="J157" t="str">
        <f t="shared" si="66"/>
        <v>未婚</v>
      </c>
      <c r="K157" t="str">
        <f>"本科"</f>
        <v>本科</v>
      </c>
      <c r="L157" t="str">
        <f>"学士"</f>
        <v>学士</v>
      </c>
      <c r="M157" t="str">
        <f t="shared" si="63"/>
        <v>学前教育</v>
      </c>
      <c r="N157" t="str">
        <f>"滁州学院"</f>
        <v>滁州学院</v>
      </c>
      <c r="O157" t="str">
        <f>"2022.7"</f>
        <v>2022.7</v>
      </c>
      <c r="P157" t="str">
        <f>"本科"</f>
        <v>本科</v>
      </c>
      <c r="Q157" t="str">
        <f>"学士"</f>
        <v>学士</v>
      </c>
      <c r="R157" t="str">
        <f t="shared" si="64"/>
        <v>学前教育</v>
      </c>
      <c r="S157" t="str">
        <f>"滁州学院"</f>
        <v>滁州学院</v>
      </c>
      <c r="T157" t="str">
        <f>"2022.7"</f>
        <v>2022.7</v>
      </c>
      <c r="U157" t="str">
        <f>"无 （有合格证暂未认定）"</f>
        <v>无 （有合格证暂未认定）</v>
      </c>
      <c r="V157" t="str">
        <f>"0"</f>
        <v>0</v>
      </c>
      <c r="W157" t="str">
        <f t="shared" si="67"/>
        <v>无</v>
      </c>
      <c r="X157" t="str">
        <f t="shared" si="62"/>
        <v>是</v>
      </c>
      <c r="Y157" t="str">
        <f>"无"</f>
        <v>无</v>
      </c>
      <c r="Z157" t="str">
        <f>"17333139001"</f>
        <v>17333139001</v>
      </c>
      <c r="AA157" t="str">
        <f>"安徽省合肥市长丰县双墩镇兴盛路物华苑4期"</f>
        <v>安徽省合肥市长丰县双墩镇兴盛路物华苑4期</v>
      </c>
      <c r="AB157" s="1" t="str">
        <f>"2014.9-2017.7 蒙城一中 学生
2017.9-2020.7 安徽财贸职业学院 学生
2020.9-2022.7 滁州学院 学生"</f>
        <v>2014.9-2017.7 蒙城一中 学生
2017.9-2020.7 安徽财贸职业学院 学生
2020.9-2022.7 滁州学院 学生</v>
      </c>
      <c r="AC157" t="str">
        <f>"无"</f>
        <v>无</v>
      </c>
      <c r="AD157" t="str">
        <f>"无"</f>
        <v>无</v>
      </c>
      <c r="AE157" t="str">
        <f>"父子|郑玉意|蒙城万佛塔党群服务中心|综治主任|母子|吴秀萍|蒙城湖商村镇银行|厨师|姐弟|郑可|合肥普瑞眼科医院|护士"</f>
        <v>父子|郑玉意|蒙城万佛塔党群服务中心|综治主任|母子|吴秀萍|蒙城湖商村镇银行|厨师|姐弟|郑可|合肥普瑞眼科医院|护士</v>
      </c>
      <c r="AF157" s="2">
        <v>44986.38763888889</v>
      </c>
      <c r="AG157">
        <v>1</v>
      </c>
      <c r="AH157">
        <v>1</v>
      </c>
      <c r="AI157">
        <v>0</v>
      </c>
      <c r="AJ157" t="s">
        <v>198</v>
      </c>
      <c r="AK157" s="4">
        <v>77.7</v>
      </c>
      <c r="AL157" s="4">
        <v>62.2</v>
      </c>
      <c r="AM157" s="4">
        <v>69.95</v>
      </c>
      <c r="AN157">
        <v>0</v>
      </c>
    </row>
    <row r="158" spans="1:40" ht="18" customHeight="1">
      <c r="A158" t="str">
        <f>"141720230228213748340751"</f>
        <v>141720230228213748340751</v>
      </c>
      <c r="B158" t="s">
        <v>44</v>
      </c>
      <c r="C158" t="str">
        <f>"郑灿灿"</f>
        <v>郑灿灿</v>
      </c>
      <c r="D158" t="str">
        <f aca="true" t="shared" si="69" ref="D158:D179">"女"</f>
        <v>女</v>
      </c>
      <c r="E158" t="str">
        <f>"1992-11"</f>
        <v>1992-11</v>
      </c>
      <c r="F158" t="str">
        <f>"安徽省庐阳区"</f>
        <v>安徽省庐阳区</v>
      </c>
      <c r="G158" t="str">
        <f t="shared" si="68"/>
        <v>汉族</v>
      </c>
      <c r="H158" t="str">
        <f>"共青团员"</f>
        <v>共青团员</v>
      </c>
      <c r="I158" t="str">
        <f>"362322199211301823"</f>
        <v>362322199211301823</v>
      </c>
      <c r="J158" t="str">
        <f>"已婚"</f>
        <v>已婚</v>
      </c>
      <c r="K158" t="str">
        <f>"大专"</f>
        <v>大专</v>
      </c>
      <c r="L158" t="str">
        <f>"无"</f>
        <v>无</v>
      </c>
      <c r="M158" t="str">
        <f t="shared" si="63"/>
        <v>学前教育</v>
      </c>
      <c r="N158" t="str">
        <f>"中央电视广播大学"</f>
        <v>中央电视广播大学</v>
      </c>
      <c r="O158" t="str">
        <f>"2015年1月31日"</f>
        <v>2015年1月31日</v>
      </c>
      <c r="P158" t="str">
        <f>"高中"</f>
        <v>高中</v>
      </c>
      <c r="Q158" t="str">
        <f>"无"</f>
        <v>无</v>
      </c>
      <c r="R158" t="str">
        <f>"无"</f>
        <v>无</v>
      </c>
      <c r="S158" t="str">
        <f>"广丰县私立南山中学"</f>
        <v>广丰县私立南山中学</v>
      </c>
      <c r="T158" t="str">
        <f>"2012年5月26日"</f>
        <v>2012年5月26日</v>
      </c>
      <c r="U158" t="str">
        <f>"幼儿教师资格"</f>
        <v>幼儿教师资格</v>
      </c>
      <c r="V158" t="str">
        <f>"3年"</f>
        <v>3年</v>
      </c>
      <c r="W158" t="str">
        <f t="shared" si="67"/>
        <v>无</v>
      </c>
      <c r="X158" t="str">
        <f t="shared" si="62"/>
        <v>是</v>
      </c>
      <c r="Y158" t="str">
        <f>"鑫宇幼儿园"</f>
        <v>鑫宇幼儿园</v>
      </c>
      <c r="Z158" t="str">
        <f>"15755156333"</f>
        <v>15755156333</v>
      </c>
      <c r="AA158" t="str">
        <f>"安徽省合肥市庐阳区荣城北苑12栋"</f>
        <v>安徽省合肥市庐阳区荣城北苑12栋</v>
      </c>
      <c r="AB158" s="1" t="str">
        <f>"2009.9-2012.6广丰县私立南山中学
2013.2-2015.1中央广播电视大学
2016.9-2019.3合肥荣城北苑幼儿园
2021.1-2022.8壹米滴答
2022.9-至今鑫宇幼儿园"</f>
        <v>2009.9-2012.6广丰县私立南山中学
2013.2-2015.1中央广播电视大学
2016.9-2019.3合肥荣城北苑幼儿园
2021.1-2022.8壹米滴答
2022.9-至今鑫宇幼儿园</v>
      </c>
      <c r="AC158" s="1" t="str">
        <f>"2013学年度第一学期中，被评为“三好学生”
2013学年中第二学期中，荣获一等奖学金"</f>
        <v>2013学年度第一学期中，被评为“三好学生”
2013学年中第二学期中，荣获一等奖学金</v>
      </c>
      <c r="AD158" t="str">
        <f>"跳舞 画画"</f>
        <v>跳舞 画画</v>
      </c>
      <c r="AE158" t="str">
        <f>"配偶|沈小刚|个体|无|父亲|沈文权|无|无|母亲|封全琴|无|无"</f>
        <v>配偶|沈小刚|个体|无|父亲|沈文权|无|无|母亲|封全琴|无|无</v>
      </c>
      <c r="AF158" s="2">
        <v>44986.38465277778</v>
      </c>
      <c r="AG158">
        <v>1</v>
      </c>
      <c r="AH158">
        <v>1</v>
      </c>
      <c r="AI158">
        <v>0</v>
      </c>
      <c r="AJ158" t="s">
        <v>199</v>
      </c>
      <c r="AK158" s="4">
        <v>58.5</v>
      </c>
      <c r="AL158" s="4">
        <v>68.8</v>
      </c>
      <c r="AM158" s="4">
        <v>63.65</v>
      </c>
      <c r="AN158">
        <v>0</v>
      </c>
    </row>
    <row r="159" spans="1:40" ht="18" customHeight="1">
      <c r="A159" t="str">
        <f>"141720230228220243340752"</f>
        <v>141720230228220243340752</v>
      </c>
      <c r="B159" t="s">
        <v>44</v>
      </c>
      <c r="C159" t="str">
        <f>"吴亚兰"</f>
        <v>吴亚兰</v>
      </c>
      <c r="D159" t="str">
        <f t="shared" si="69"/>
        <v>女</v>
      </c>
      <c r="E159" t="str">
        <f>"2001-08"</f>
        <v>2001-08</v>
      </c>
      <c r="F159" t="str">
        <f>"安徽瑶海区"</f>
        <v>安徽瑶海区</v>
      </c>
      <c r="G159" t="str">
        <f t="shared" si="68"/>
        <v>汉族</v>
      </c>
      <c r="H159" t="str">
        <f>"中共党员"</f>
        <v>中共党员</v>
      </c>
      <c r="I159" t="str">
        <f>"340123200108066488"</f>
        <v>340123200108066488</v>
      </c>
      <c r="J159" t="str">
        <f>"未婚"</f>
        <v>未婚</v>
      </c>
      <c r="K159" t="str">
        <f>"大学本科"</f>
        <v>大学本科</v>
      </c>
      <c r="L159" t="str">
        <f>"教育学学位"</f>
        <v>教育学学位</v>
      </c>
      <c r="M159" t="str">
        <f t="shared" si="63"/>
        <v>学前教育</v>
      </c>
      <c r="N159" t="str">
        <f>"安徽新华学院"</f>
        <v>安徽新华学院</v>
      </c>
      <c r="O159" t="str">
        <f>"2023-07"</f>
        <v>2023-07</v>
      </c>
      <c r="P159" t="str">
        <f>"本科"</f>
        <v>本科</v>
      </c>
      <c r="Q159" t="str">
        <f>"教育学学位"</f>
        <v>教育学学位</v>
      </c>
      <c r="R159" t="str">
        <f>"学前教育"</f>
        <v>学前教育</v>
      </c>
      <c r="S159" t="str">
        <f>"安徽新华学院"</f>
        <v>安徽新华学院</v>
      </c>
      <c r="T159" t="str">
        <f>"2023-07"</f>
        <v>2023-07</v>
      </c>
      <c r="U159" t="str">
        <f>"幼儿教师资格证、小学教师资格证、CET4、国家计算机二级证书"</f>
        <v>幼儿教师资格证、小学教师资格证、CET4、国家计算机二级证书</v>
      </c>
      <c r="V159" t="str">
        <f>"无"</f>
        <v>无</v>
      </c>
      <c r="W159" t="str">
        <f t="shared" si="67"/>
        <v>无</v>
      </c>
      <c r="X159" t="str">
        <f t="shared" si="62"/>
        <v>是</v>
      </c>
      <c r="Y159" t="str">
        <f>"无"</f>
        <v>无</v>
      </c>
      <c r="Z159" t="str">
        <f>"18356077254"</f>
        <v>18356077254</v>
      </c>
      <c r="AA159" t="str">
        <f>"安徽省合肥市瑶海区阳光汇景"</f>
        <v>安徽省合肥市瑶海区阳光汇景</v>
      </c>
      <c r="AB159" s="1" t="str">
        <f>"2016、9——2019、6  合肥市十一中学 学生
2019、9——至今  安徽新华学院 学生
"</f>
        <v>2016、9——2019、6  合肥市十一中学 学生
2019、9——至今  安徽新华学院 学生
</v>
      </c>
      <c r="AC159" s="1" t="str">
        <f>"
1、军训优秀学员 2、团总支优秀学生干部 3、第一届讲故事大赛一等奖4、第一届讲故事大赛最佳奉献奖5、第一届环创大赛一等奖 6、榜样的力量优秀共青团员7、华园之星优秀学生干部8、榜样的力量优秀学生干部9、学生助理技能培训结业证书10、入党积极分子培训结业证书11、党员发展对象培训结业证书12、青马工程学生骨干培训结业证书13国家计算机二级合格证书
"</f>
        <v>
1、军训优秀学员 2、团总支优秀学生干部 3、第一届讲故事大赛一等奖4、第一届讲故事大赛最佳奉献奖5、第一届环创大赛一等奖 6、榜样的力量优秀共青团员7、华园之星优秀学生干部8、榜样的力量优秀学生干部9、学生助理技能培训结业证书10、入党积极分子培训结业证书11、党员发展对象培训结业证书12、青马工程学生骨干培训结业证书13国家计算机二级合格证书
</v>
      </c>
      <c r="AD159" t="str">
        <f>"唱歌、手工、讲故事"</f>
        <v>唱歌、手工、讲故事</v>
      </c>
      <c r="AE159" t="str">
        <f>"母女|吴琼|好波有限公司 |销售员|父女|葛瑞宏|个体户 |出租车司机||||"</f>
        <v>母女|吴琼|好波有限公司 |销售员|父女|葛瑞宏|个体户 |出租车司机||||</v>
      </c>
      <c r="AF159" s="2">
        <v>44986.38568287037</v>
      </c>
      <c r="AG159">
        <v>1</v>
      </c>
      <c r="AH159">
        <v>1</v>
      </c>
      <c r="AI159">
        <v>0</v>
      </c>
      <c r="AJ159" t="s">
        <v>200</v>
      </c>
      <c r="AK159" s="4">
        <v>75.6</v>
      </c>
      <c r="AL159" s="4">
        <v>70.8</v>
      </c>
      <c r="AM159" s="4">
        <v>73.19999999999999</v>
      </c>
      <c r="AN159">
        <v>0</v>
      </c>
    </row>
    <row r="160" spans="1:40" ht="18" customHeight="1">
      <c r="A160" t="str">
        <f>"141720230301074131340758"</f>
        <v>141720230301074131340758</v>
      </c>
      <c r="B160" t="s">
        <v>44</v>
      </c>
      <c r="C160" t="str">
        <f>"郝雨蒙"</f>
        <v>郝雨蒙</v>
      </c>
      <c r="D160" t="str">
        <f t="shared" si="69"/>
        <v>女</v>
      </c>
      <c r="E160" t="str">
        <f>"1997年12月31日"</f>
        <v>1997年12月31日</v>
      </c>
      <c r="F160" t="str">
        <f>"安徽省亳州市"</f>
        <v>安徽省亳州市</v>
      </c>
      <c r="G160" t="str">
        <f t="shared" si="68"/>
        <v>汉族</v>
      </c>
      <c r="H160" t="str">
        <f>"共青团员"</f>
        <v>共青团员</v>
      </c>
      <c r="I160" t="str">
        <f>"341227199712310025"</f>
        <v>341227199712310025</v>
      </c>
      <c r="J160" t="str">
        <f>"未婚"</f>
        <v>未婚</v>
      </c>
      <c r="K160" t="str">
        <f>"本科"</f>
        <v>本科</v>
      </c>
      <c r="L160" t="str">
        <f>"学士"</f>
        <v>学士</v>
      </c>
      <c r="M160" t="str">
        <f t="shared" si="63"/>
        <v>学前教育</v>
      </c>
      <c r="N160" t="str">
        <f>"滁州学院"</f>
        <v>滁州学院</v>
      </c>
      <c r="O160" t="str">
        <f>"2022年6月30日"</f>
        <v>2022年6月30日</v>
      </c>
      <c r="P160" t="str">
        <f>"本科"</f>
        <v>本科</v>
      </c>
      <c r="Q160" t="str">
        <f>"学士"</f>
        <v>学士</v>
      </c>
      <c r="R160" t="str">
        <f>"学前教育"</f>
        <v>学前教育</v>
      </c>
      <c r="S160" t="str">
        <f>"滁州学院"</f>
        <v>滁州学院</v>
      </c>
      <c r="T160" t="str">
        <f>"2022年6月30日"</f>
        <v>2022年6月30日</v>
      </c>
      <c r="U160" t="str">
        <f>"有合格证书（未认定）承诺在2023年7月之前认证成功"</f>
        <v>有合格证书（未认定）承诺在2023年7月之前认证成功</v>
      </c>
      <c r="V160" t="str">
        <f>"3个月"</f>
        <v>3个月</v>
      </c>
      <c r="W160" t="str">
        <f t="shared" si="67"/>
        <v>无</v>
      </c>
      <c r="X160" t="str">
        <f t="shared" si="62"/>
        <v>是</v>
      </c>
      <c r="Y160" t="str">
        <f>"已辞职"</f>
        <v>已辞职</v>
      </c>
      <c r="Z160" t="str">
        <f>"13856731325"</f>
        <v>13856731325</v>
      </c>
      <c r="AA160" t="str">
        <f>"安徽省亳州市利辛县城关镇人民路新华宾馆旁"</f>
        <v>安徽省亳州市利辛县城关镇人民路新华宾馆旁</v>
      </c>
      <c r="AB160" s="1" t="str">
        <f>"2014.9－2017.6 利辛县第一中学 学生
2017.9－2020.6安徽国际商务职业学院 学生
2020.9－2022.6滁州学院 学生
2022.3－2022.6 利辛县蓓蕾幼儿园 实习
2022.9－2023.2 利辛县城关镇东风村村支部 员工"</f>
        <v>2014.9－2017.6 利辛县第一中学 学生
2017.9－2020.6安徽国际商务职业学院 学生
2020.9－2022.6滁州学院 学生
2022.3－2022.6 利辛县蓓蕾幼儿园 实习
2022.9－2023.2 利辛县城关镇东风村村支部 员工</v>
      </c>
      <c r="AC160" t="str">
        <f>"优秀信息员 院主持人大赛三等奖 "</f>
        <v>优秀信息员 院主持人大赛三等奖 </v>
      </c>
      <c r="AD160" t="str">
        <f>"看书 听歌 "</f>
        <v>看书 听歌 </v>
      </c>
      <c r="AE160" t="str">
        <f>"父女|郝长词|无|无|母女|郑丽|无|无||||"</f>
        <v>父女|郝长词|无|无|母女|郑丽|无|无||||</v>
      </c>
      <c r="AF160" s="2">
        <v>44987.63883101852</v>
      </c>
      <c r="AG160">
        <v>1</v>
      </c>
      <c r="AH160">
        <v>1</v>
      </c>
      <c r="AI160">
        <v>0</v>
      </c>
      <c r="AJ160" t="s">
        <v>201</v>
      </c>
      <c r="AK160" s="4">
        <v>64.5</v>
      </c>
      <c r="AL160" s="4">
        <v>71.8</v>
      </c>
      <c r="AM160" s="4">
        <v>68.15</v>
      </c>
      <c r="AN160">
        <v>0</v>
      </c>
    </row>
    <row r="161" spans="1:40" ht="18" customHeight="1">
      <c r="A161" t="str">
        <f>"141720230301094055340761"</f>
        <v>141720230301094055340761</v>
      </c>
      <c r="B161" t="s">
        <v>44</v>
      </c>
      <c r="C161" t="str">
        <f>"李婉婉"</f>
        <v>李婉婉</v>
      </c>
      <c r="D161" t="str">
        <f t="shared" si="69"/>
        <v>女</v>
      </c>
      <c r="E161" t="str">
        <f>"2000-09-09"</f>
        <v>2000-09-09</v>
      </c>
      <c r="F161" t="str">
        <f>"安徽省亳州市"</f>
        <v>安徽省亳州市</v>
      </c>
      <c r="G161" t="str">
        <f t="shared" si="68"/>
        <v>汉族</v>
      </c>
      <c r="H161" t="str">
        <f>"共青团员"</f>
        <v>共青团员</v>
      </c>
      <c r="I161" t="str">
        <f>"341623200009094844"</f>
        <v>341623200009094844</v>
      </c>
      <c r="J161" t="str">
        <f>"未婚"</f>
        <v>未婚</v>
      </c>
      <c r="K161" t="str">
        <f>"大专"</f>
        <v>大专</v>
      </c>
      <c r="L161" t="str">
        <f>"无"</f>
        <v>无</v>
      </c>
      <c r="M161" t="str">
        <f t="shared" si="63"/>
        <v>学前教育</v>
      </c>
      <c r="N161" t="str">
        <f>"合肥幼儿高等专科学校"</f>
        <v>合肥幼儿高等专科学校</v>
      </c>
      <c r="O161" t="str">
        <f>"2021年6月"</f>
        <v>2021年6月</v>
      </c>
      <c r="P161" t="str">
        <f>"大专"</f>
        <v>大专</v>
      </c>
      <c r="Q161" t="str">
        <f>"无"</f>
        <v>无</v>
      </c>
      <c r="R161" t="str">
        <f>"学前教育"</f>
        <v>学前教育</v>
      </c>
      <c r="S161" t="str">
        <f>"合肥幼儿高等专科学校"</f>
        <v>合肥幼儿高等专科学校</v>
      </c>
      <c r="T161" t="str">
        <f>"2021年6月"</f>
        <v>2021年6月</v>
      </c>
      <c r="U161" t="str">
        <f>"有幼儿园及小学教师资格证"</f>
        <v>有幼儿园及小学教师资格证</v>
      </c>
      <c r="V161" t="str">
        <f>"三年"</f>
        <v>三年</v>
      </c>
      <c r="W161" t="str">
        <f>"三级"</f>
        <v>三级</v>
      </c>
      <c r="X161" t="str">
        <f t="shared" si="62"/>
        <v>是</v>
      </c>
      <c r="Y161" t="str">
        <f>"合肥蜀山当代万国城幼儿园"</f>
        <v>合肥蜀山当代万国城幼儿园</v>
      </c>
      <c r="Z161" t="str">
        <f>"17756819821"</f>
        <v>17756819821</v>
      </c>
      <c r="AA161" t="str">
        <f>"合肥蜀鑫雅苑"</f>
        <v>合肥蜀鑫雅苑</v>
      </c>
      <c r="AB161" t="str">
        <f>"2020年9月到至今在合肥蜀山当代万国城幼儿园工作，担任教师一职"</f>
        <v>2020年9月到至今在合肥蜀山当代万国城幼儿园工作，担任教师一职</v>
      </c>
      <c r="AC161" t="str">
        <f>"无"</f>
        <v>无</v>
      </c>
      <c r="AD161" t="str">
        <f>"跳舞、绘画等"</f>
        <v>跳舞、绘画等</v>
      </c>
      <c r="AE161" t="str">
        <f>"父亲|李涛|初级中学|教导主任|母亲|马建荣|个体|||||"</f>
        <v>父亲|李涛|初级中学|教导主任|母亲|马建荣|个体|||||</v>
      </c>
      <c r="AF161" s="2">
        <v>44987.472650462965</v>
      </c>
      <c r="AG161">
        <v>1</v>
      </c>
      <c r="AH161">
        <v>1</v>
      </c>
      <c r="AI161">
        <v>0</v>
      </c>
      <c r="AJ161" t="s">
        <v>202</v>
      </c>
      <c r="AK161" s="4">
        <v>63.5</v>
      </c>
      <c r="AL161" s="4">
        <v>63.1</v>
      </c>
      <c r="AM161" s="4">
        <v>63.3</v>
      </c>
      <c r="AN161">
        <v>0</v>
      </c>
    </row>
    <row r="162" spans="1:40" ht="18" customHeight="1">
      <c r="A162" t="str">
        <f>"141720230301101915340763"</f>
        <v>141720230301101915340763</v>
      </c>
      <c r="B162" t="s">
        <v>44</v>
      </c>
      <c r="C162" t="str">
        <f>"薛燕"</f>
        <v>薛燕</v>
      </c>
      <c r="D162" t="str">
        <f t="shared" si="69"/>
        <v>女</v>
      </c>
      <c r="E162" t="str">
        <f>"1989-10"</f>
        <v>1989-10</v>
      </c>
      <c r="F162" t="str">
        <f>"安徽省肥东县"</f>
        <v>安徽省肥东县</v>
      </c>
      <c r="G162" t="str">
        <f t="shared" si="68"/>
        <v>汉族</v>
      </c>
      <c r="H162" t="str">
        <f>"群众"</f>
        <v>群众</v>
      </c>
      <c r="I162" t="str">
        <f>"340123198910036905"</f>
        <v>340123198910036905</v>
      </c>
      <c r="J162" t="str">
        <f>"已婚"</f>
        <v>已婚</v>
      </c>
      <c r="K162" t="str">
        <f aca="true" t="shared" si="70" ref="K162:K168">"本科"</f>
        <v>本科</v>
      </c>
      <c r="L162" t="str">
        <f>"无"</f>
        <v>无</v>
      </c>
      <c r="M162" t="str">
        <f t="shared" si="63"/>
        <v>学前教育</v>
      </c>
      <c r="N162" t="str">
        <f>" 安徽师范大学"</f>
        <v> 安徽师范大学</v>
      </c>
      <c r="O162" t="str">
        <f>"2020年7月"</f>
        <v>2020年7月</v>
      </c>
      <c r="P162" t="str">
        <f>"大专"</f>
        <v>大专</v>
      </c>
      <c r="Q162" t="str">
        <f>"无"</f>
        <v>无</v>
      </c>
      <c r="R162" t="str">
        <f>"小学教育"</f>
        <v>小学教育</v>
      </c>
      <c r="S162" t="str">
        <f>"中央广播电视大学"</f>
        <v>中央广播电视大学</v>
      </c>
      <c r="T162" t="str">
        <f>"2009年7月"</f>
        <v>2009年7月</v>
      </c>
      <c r="U162" t="str">
        <f>"幼儿园教师资格证 普通话证"</f>
        <v>幼儿园教师资格证 普通话证</v>
      </c>
      <c r="V162" t="str">
        <f>"毕业14年一直从事教育工作"</f>
        <v>毕业14年一直从事教育工作</v>
      </c>
      <c r="W162" t="str">
        <f aca="true" t="shared" si="71" ref="W162:W183">"无"</f>
        <v>无</v>
      </c>
      <c r="X162" t="str">
        <f>"否"</f>
        <v>否</v>
      </c>
      <c r="Y162" t="str">
        <f>" 麦禾艺术教育"</f>
        <v> 麦禾艺术教育</v>
      </c>
      <c r="Z162" t="str">
        <f>"15855117694"</f>
        <v>15855117694</v>
      </c>
      <c r="AA162" t="str">
        <f>"合肥瑶海区"</f>
        <v>合肥瑶海区</v>
      </c>
      <c r="AB162" s="1" t="str">
        <f>"2005年-2008年肥东师范学校     职位：学生
2007年-2008年中央广播电视大学 职位：学生 
2008年-2018年合肥天鹅幼教     职位：教师 
2018年-2019年合肥林旭幼教     职位：教师 
2020年-2022年合肥卖禾艺术教育 职位：教师 "</f>
        <v>2005年-2008年肥东师范学校     职位：学生
2007年-2008年中央广播电视大学 职位：学生 
2008年-2018年合肥天鹅幼教     职位：教师 
2018年-2019年合肥林旭幼教     职位：教师 
2020年-2022年合肥卖禾艺术教育 职位：教师 </v>
      </c>
      <c r="AC162" t="str">
        <f>"无"</f>
        <v>无</v>
      </c>
      <c r="AD162" t="str">
        <f>"绘画"</f>
        <v>绘画</v>
      </c>
      <c r="AE162" t="str">
        <f>"丈夫|张辉|合肥百花中学|教师||||||||"</f>
        <v>丈夫|张辉|合肥百花中学|教师||||||||</v>
      </c>
      <c r="AF162" s="2">
        <v>44986.633993055555</v>
      </c>
      <c r="AG162">
        <v>1</v>
      </c>
      <c r="AH162">
        <v>1</v>
      </c>
      <c r="AI162">
        <v>0</v>
      </c>
      <c r="AJ162" t="s">
        <v>203</v>
      </c>
      <c r="AK162" s="4">
        <v>69.2</v>
      </c>
      <c r="AL162" s="4">
        <v>66.4</v>
      </c>
      <c r="AM162" s="4">
        <v>67.80000000000001</v>
      </c>
      <c r="AN162">
        <v>0</v>
      </c>
    </row>
    <row r="163" spans="1:40" ht="18" customHeight="1">
      <c r="A163" t="str">
        <f>"141720230301102021340764"</f>
        <v>141720230301102021340764</v>
      </c>
      <c r="B163" t="s">
        <v>44</v>
      </c>
      <c r="C163" t="str">
        <f>"吴梦云"</f>
        <v>吴梦云</v>
      </c>
      <c r="D163" t="str">
        <f t="shared" si="69"/>
        <v>女</v>
      </c>
      <c r="E163" t="str">
        <f>"1999-5"</f>
        <v>1999-5</v>
      </c>
      <c r="F163" t="str">
        <f>"安徽宿松"</f>
        <v>安徽宿松</v>
      </c>
      <c r="G163" t="str">
        <f t="shared" si="68"/>
        <v>汉族</v>
      </c>
      <c r="H163" t="str">
        <f>"共青团员"</f>
        <v>共青团员</v>
      </c>
      <c r="I163" t="str">
        <f>"340826199905010040"</f>
        <v>340826199905010040</v>
      </c>
      <c r="J163" t="str">
        <f aca="true" t="shared" si="72" ref="J163:J171">"未婚"</f>
        <v>未婚</v>
      </c>
      <c r="K163" t="str">
        <f t="shared" si="70"/>
        <v>本科</v>
      </c>
      <c r="L163" t="str">
        <f>"本科"</f>
        <v>本科</v>
      </c>
      <c r="M163" t="str">
        <f t="shared" si="63"/>
        <v>学前教育</v>
      </c>
      <c r="N163" t="str">
        <f>"安徽师范大学"</f>
        <v>安徽师范大学</v>
      </c>
      <c r="O163" t="str">
        <f>"2020.6"</f>
        <v>2020.6</v>
      </c>
      <c r="P163" t="str">
        <f>"本科"</f>
        <v>本科</v>
      </c>
      <c r="Q163" t="str">
        <f>"本科"</f>
        <v>本科</v>
      </c>
      <c r="R163" t="str">
        <f aca="true" t="shared" si="73" ref="R163:R168">"学前教育"</f>
        <v>学前教育</v>
      </c>
      <c r="S163" t="str">
        <f>"安徽师范大学"</f>
        <v>安徽师范大学</v>
      </c>
      <c r="T163" t="str">
        <f>"安徽师范大学"</f>
        <v>安徽师范大学</v>
      </c>
      <c r="U163" t="str">
        <f>"幼儿园教师资格证 小学教师资格证 育婴师资格证 普通话二级甲等"</f>
        <v>幼儿园教师资格证 小学教师资格证 育婴师资格证 普通话二级甲等</v>
      </c>
      <c r="V163" t="str">
        <f>"1"</f>
        <v>1</v>
      </c>
      <c r="W163" t="str">
        <f t="shared" si="71"/>
        <v>无</v>
      </c>
      <c r="X163" t="str">
        <f aca="true" t="shared" si="74" ref="X163:X171">"是"</f>
        <v>是</v>
      </c>
      <c r="Y163" t="str">
        <f>"无"</f>
        <v>无</v>
      </c>
      <c r="Z163" t="str">
        <f>"15155921535"</f>
        <v>15155921535</v>
      </c>
      <c r="AA163" t="str">
        <f>"安徽省合肥市蜀山区"</f>
        <v>安徽省合肥市蜀山区</v>
      </c>
      <c r="AB163" s="1" t="str">
        <f>"2010.09-2013.06   合肥市第五十中学
2013.09-2016.06   合肥市第九中学
2016.09-2020.06&amp;#160; 安徽师范大学     学前教育"</f>
        <v>2010.09-2013.06   合肥市第五十中学
2013.09-2016.06   合肥市第九中学
2016.09-2020.06&amp;#160; 安徽师范大学     学前教育</v>
      </c>
      <c r="AC163" t="str">
        <f>"无"</f>
        <v>无</v>
      </c>
      <c r="AD163" t="str">
        <f>"阅读"</f>
        <v>阅读</v>
      </c>
      <c r="AE163" t="str">
        <f>"父亲|吴金林|安徽省宿松县钓鱼台水库|高级工|母亲|张永红||||||"</f>
        <v>父亲|吴金林|安徽省宿松县钓鱼台水库|高级工|母亲|张永红||||||</v>
      </c>
      <c r="AF163" s="2">
        <v>44986.63167824074</v>
      </c>
      <c r="AG163">
        <v>1</v>
      </c>
      <c r="AH163">
        <v>1</v>
      </c>
      <c r="AI163">
        <v>0</v>
      </c>
      <c r="AJ163" t="s">
        <v>204</v>
      </c>
      <c r="AK163" s="4">
        <v>83.2</v>
      </c>
      <c r="AL163" s="4">
        <v>71</v>
      </c>
      <c r="AM163" s="4">
        <v>77.1</v>
      </c>
      <c r="AN163">
        <v>0</v>
      </c>
    </row>
    <row r="164" spans="1:40" ht="18" customHeight="1">
      <c r="A164" t="str">
        <f>"141720230301103749340765"</f>
        <v>141720230301103749340765</v>
      </c>
      <c r="B164" t="s">
        <v>44</v>
      </c>
      <c r="C164" t="str">
        <f>"周瑞"</f>
        <v>周瑞</v>
      </c>
      <c r="D164" t="str">
        <f t="shared" si="69"/>
        <v>女</v>
      </c>
      <c r="E164" t="str">
        <f>"1999-05-05"</f>
        <v>1999-05-05</v>
      </c>
      <c r="F164" t="str">
        <f>"安徽蚌埠市怀远县"</f>
        <v>安徽蚌埠市怀远县</v>
      </c>
      <c r="G164" t="str">
        <f t="shared" si="68"/>
        <v>汉族</v>
      </c>
      <c r="H164" t="str">
        <f>"共青团员"</f>
        <v>共青团员</v>
      </c>
      <c r="I164" t="str">
        <f>"340321199905040865"</f>
        <v>340321199905040865</v>
      </c>
      <c r="J164" t="str">
        <f t="shared" si="72"/>
        <v>未婚</v>
      </c>
      <c r="K164" t="str">
        <f t="shared" si="70"/>
        <v>本科</v>
      </c>
      <c r="L164" t="str">
        <f>"学士学位"</f>
        <v>学士学位</v>
      </c>
      <c r="M164" t="str">
        <f>"学前教育专业"</f>
        <v>学前教育专业</v>
      </c>
      <c r="N164" t="str">
        <f>"淮北理工学院"</f>
        <v>淮北理工学院</v>
      </c>
      <c r="O164" t="str">
        <f>"2023年6月"</f>
        <v>2023年6月</v>
      </c>
      <c r="P164" t="str">
        <f>"本科"</f>
        <v>本科</v>
      </c>
      <c r="Q164" t="str">
        <f>"学士学位"</f>
        <v>学士学位</v>
      </c>
      <c r="R164" t="str">
        <f t="shared" si="73"/>
        <v>学前教育</v>
      </c>
      <c r="S164" t="str">
        <f>"淮北理工学院"</f>
        <v>淮北理工学院</v>
      </c>
      <c r="T164" t="str">
        <f>"2023年6月"</f>
        <v>2023年6月</v>
      </c>
      <c r="U164" t="str">
        <f>"幼儿园教师资格证（未认定）"</f>
        <v>幼儿园教师资格证（未认定）</v>
      </c>
      <c r="V164" t="str">
        <f>"实习半年"</f>
        <v>实习半年</v>
      </c>
      <c r="W164" t="str">
        <f t="shared" si="71"/>
        <v>无</v>
      </c>
      <c r="X164" t="str">
        <f t="shared" si="74"/>
        <v>是</v>
      </c>
      <c r="Y164" t="str">
        <f>"淮北理工学院"</f>
        <v>淮北理工学院</v>
      </c>
      <c r="Z164" t="str">
        <f>"18755231697"</f>
        <v>18755231697</v>
      </c>
      <c r="AA164" t="str">
        <f>"安徽省蚌埠市怀远县"</f>
        <v>安徽省蚌埠市怀远县</v>
      </c>
      <c r="AB164" s="1" t="str">
        <f>"2015.9-2018.6怀远第三中学 学生
2019.9-2021.6亳州学院 学生
2021.9-2023.6淮北理工学院 学生
"</f>
        <v>2015.9-2018.6怀远第三中学 学生
2019.9-2021.6亳州学院 学生
2021.9-2023.6淮北理工学院 学生
</v>
      </c>
      <c r="AC164" t="str">
        <f>"获淮北理工学院二等优秀学生奖学金"</f>
        <v>获淮北理工学院二等优秀学生奖学金</v>
      </c>
      <c r="AD164" t="str">
        <f>"喜欢跳舞，手工"</f>
        <v>喜欢跳舞，手工</v>
      </c>
      <c r="AE164" t="str">
        <f>"父女|周家收|务农|无|母女|唐彩云|务农|无|兄妹|周彬彬|上海万朔药业有限公司|公务员"</f>
        <v>父女|周家收|务农|无|母女|唐彩云|务农|无|兄妹|周彬彬|上海万朔药业有限公司|公务员</v>
      </c>
      <c r="AF164" s="2">
        <v>44988.42273148148</v>
      </c>
      <c r="AG164">
        <v>1</v>
      </c>
      <c r="AH164">
        <v>1</v>
      </c>
      <c r="AI164">
        <v>0</v>
      </c>
      <c r="AJ164" t="s">
        <v>205</v>
      </c>
      <c r="AK164" s="4">
        <v>76.7</v>
      </c>
      <c r="AL164" s="4">
        <v>79.9</v>
      </c>
      <c r="AM164" s="4">
        <v>78.30000000000001</v>
      </c>
      <c r="AN164">
        <v>0</v>
      </c>
    </row>
    <row r="165" spans="1:40" ht="18" customHeight="1">
      <c r="A165" t="str">
        <f>"141720230301113441340769"</f>
        <v>141720230301113441340769</v>
      </c>
      <c r="B165" t="s">
        <v>44</v>
      </c>
      <c r="C165" t="str">
        <f>"杨露"</f>
        <v>杨露</v>
      </c>
      <c r="D165" t="str">
        <f t="shared" si="69"/>
        <v>女</v>
      </c>
      <c r="E165" t="str">
        <f>"1996-10"</f>
        <v>1996-10</v>
      </c>
      <c r="F165" t="str">
        <f>"安徽巢湖"</f>
        <v>安徽巢湖</v>
      </c>
      <c r="G165" t="str">
        <f t="shared" si="68"/>
        <v>汉族</v>
      </c>
      <c r="H165" t="str">
        <f>"群众"</f>
        <v>群众</v>
      </c>
      <c r="I165" t="str">
        <f>"342601199610295329"</f>
        <v>342601199610295329</v>
      </c>
      <c r="J165" t="str">
        <f t="shared" si="72"/>
        <v>未婚</v>
      </c>
      <c r="K165" t="str">
        <f t="shared" si="70"/>
        <v>本科</v>
      </c>
      <c r="L165" t="str">
        <f>"无"</f>
        <v>无</v>
      </c>
      <c r="M165" t="str">
        <f>"学前教育"</f>
        <v>学前教育</v>
      </c>
      <c r="N165" t="str">
        <f>"安徽师范大学"</f>
        <v>安徽师范大学</v>
      </c>
      <c r="O165" t="str">
        <f>"2021.7"</f>
        <v>2021.7</v>
      </c>
      <c r="P165" t="str">
        <f>"大专"</f>
        <v>大专</v>
      </c>
      <c r="Q165" t="str">
        <f>"无"</f>
        <v>无</v>
      </c>
      <c r="R165" t="str">
        <f t="shared" si="73"/>
        <v>学前教育</v>
      </c>
      <c r="S165" t="str">
        <f>"合肥师范学院"</f>
        <v>合肥师范学院</v>
      </c>
      <c r="T165" t="str">
        <f>"2017.7"</f>
        <v>2017.7</v>
      </c>
      <c r="U165" t="str">
        <f>"幼儿园教师资格证"</f>
        <v>幼儿园教师资格证</v>
      </c>
      <c r="V165" t="str">
        <f>"2"</f>
        <v>2</v>
      </c>
      <c r="W165" t="str">
        <f t="shared" si="71"/>
        <v>无</v>
      </c>
      <c r="X165" t="str">
        <f t="shared" si="74"/>
        <v>是</v>
      </c>
      <c r="Y165" t="str">
        <f>"合肥东新文化旅游投资有限公司"</f>
        <v>合肥东新文化旅游投资有限公司</v>
      </c>
      <c r="Z165" t="str">
        <f>"15155972201"</f>
        <v>15155972201</v>
      </c>
      <c r="AA165" t="str">
        <f>"合肥市包河区骆岗街道包河花园B区"</f>
        <v>合肥市包河区骆岗街道包河花园B区</v>
      </c>
      <c r="AB165" s="1" t="s">
        <v>55</v>
      </c>
      <c r="AC165" t="str">
        <f>"无"</f>
        <v>无</v>
      </c>
      <c r="AD165" t="str">
        <f>"偏向于手工制作与简笔画，素描，颜料绘画"</f>
        <v>偏向于手工制作与简笔画，素描，颜料绘画</v>
      </c>
      <c r="AE165" t="str">
        <f>"父亲|杨卫|安徽省合肥市巢湖市庙岗镇杨旺村|务农|母亲|郑香莲|安徽省合肥市巢湖市庙岗镇杨旺村|务农|姐弟|杨清宇|合肥立信技工学校|学生"</f>
        <v>父亲|杨卫|安徽省合肥市巢湖市庙岗镇杨旺村|务农|母亲|郑香莲|安徽省合肥市巢湖市庙岗镇杨旺村|务农|姐弟|杨清宇|合肥立信技工学校|学生</v>
      </c>
      <c r="AF165" s="2">
        <v>44986.62903935185</v>
      </c>
      <c r="AG165">
        <v>1</v>
      </c>
      <c r="AH165">
        <v>1</v>
      </c>
      <c r="AI165">
        <v>0</v>
      </c>
      <c r="AJ165" t="s">
        <v>206</v>
      </c>
      <c r="AK165" s="4">
        <v>60.6</v>
      </c>
      <c r="AL165" s="4">
        <v>59.1</v>
      </c>
      <c r="AM165" s="4">
        <v>59.85</v>
      </c>
      <c r="AN165">
        <v>0</v>
      </c>
    </row>
    <row r="166" spans="1:40" ht="18" customHeight="1">
      <c r="A166" t="str">
        <f>"141720230301114007340770"</f>
        <v>141720230301114007340770</v>
      </c>
      <c r="B166" t="s">
        <v>44</v>
      </c>
      <c r="C166" t="str">
        <f>"彭丽"</f>
        <v>彭丽</v>
      </c>
      <c r="D166" t="str">
        <f t="shared" si="69"/>
        <v>女</v>
      </c>
      <c r="E166" t="str">
        <f>"2000－03"</f>
        <v>2000－03</v>
      </c>
      <c r="F166" t="str">
        <f>"安徽庐江县"</f>
        <v>安徽庐江县</v>
      </c>
      <c r="G166" t="str">
        <f t="shared" si="68"/>
        <v>汉族</v>
      </c>
      <c r="H166" t="str">
        <f>"中共党员"</f>
        <v>中共党员</v>
      </c>
      <c r="I166" t="str">
        <f>"342622200003072147"</f>
        <v>342622200003072147</v>
      </c>
      <c r="J166" t="str">
        <f t="shared" si="72"/>
        <v>未婚</v>
      </c>
      <c r="K166" t="str">
        <f t="shared" si="70"/>
        <v>本科</v>
      </c>
      <c r="L166" t="str">
        <f>"学士"</f>
        <v>学士</v>
      </c>
      <c r="M166" t="str">
        <f>"学前教育"</f>
        <v>学前教育</v>
      </c>
      <c r="N166" t="str">
        <f>"巢湖学院"</f>
        <v>巢湖学院</v>
      </c>
      <c r="O166" t="str">
        <f>"2023"</f>
        <v>2023</v>
      </c>
      <c r="P166" t="str">
        <f>"本科"</f>
        <v>本科</v>
      </c>
      <c r="Q166" t="str">
        <f>"学士"</f>
        <v>学士</v>
      </c>
      <c r="R166" t="str">
        <f t="shared" si="73"/>
        <v>学前教育</v>
      </c>
      <c r="S166" t="str">
        <f>"巢湖学院"</f>
        <v>巢湖学院</v>
      </c>
      <c r="T166" t="str">
        <f>"2023"</f>
        <v>2023</v>
      </c>
      <c r="U166" t="str">
        <f>"幼儿园  中职（学前教育）"</f>
        <v>幼儿园  中职（学前教育）</v>
      </c>
      <c r="V166" t="str">
        <f>"0"</f>
        <v>0</v>
      </c>
      <c r="W166" t="str">
        <f t="shared" si="71"/>
        <v>无</v>
      </c>
      <c r="X166" t="str">
        <f t="shared" si="74"/>
        <v>是</v>
      </c>
      <c r="Y166" t="str">
        <f>"无"</f>
        <v>无</v>
      </c>
      <c r="Z166" t="str">
        <f>"18455173911"</f>
        <v>18455173911</v>
      </c>
      <c r="AA166" t="str">
        <f>"安徽省合肥市瑶海区裕昌新村"</f>
        <v>安徽省合肥市瑶海区裕昌新村</v>
      </c>
      <c r="AB166" s="1" t="str">
        <f>"2016，9-2019，6合肥市三十五中学生
2019.6-至今巢湖学院学生"</f>
        <v>2016，9-2019，6合肥市三十五中学生
2019.6-至今巢湖学院学生</v>
      </c>
      <c r="AC166" s="1" t="str">
        <f>"“优秀共青团员”；巢湖学院三等奖学金；国家励志奖学金；巢湖学院优秀学生；安徽省大学生艺术展演三等奖，巢湖学院优秀学生干部
"</f>
        <v>“优秀共青团员”；巢湖学院三等奖学金；国家励志奖学金；巢湖学院优秀学生；安徽省大学生艺术展演三等奖，巢湖学院优秀学生干部
</v>
      </c>
      <c r="AD166" t="str">
        <f>"爱好画画和跑步，掌握基本的钢琴舞蹈声乐素描知识"</f>
        <v>爱好画画和跑步，掌握基本的钢琴舞蹈声乐素描知识</v>
      </c>
      <c r="AE166" t="str">
        <f>"父女|彭玉和|山水公司|油漆工|母女|范翠莲|无|无|姐弟|彭坤|合肥七中|学生"</f>
        <v>父女|彭玉和|山水公司|油漆工|母女|范翠莲|无|无|姐弟|彭坤|合肥七中|学生</v>
      </c>
      <c r="AF166" s="2">
        <v>44988.39423611111</v>
      </c>
      <c r="AG166">
        <v>1</v>
      </c>
      <c r="AH166">
        <v>1</v>
      </c>
      <c r="AI166">
        <v>0</v>
      </c>
      <c r="AJ166" t="s">
        <v>207</v>
      </c>
      <c r="AK166" s="4" t="s">
        <v>264</v>
      </c>
      <c r="AL166" s="4" t="s">
        <v>264</v>
      </c>
      <c r="AM166" s="4" t="s">
        <v>264</v>
      </c>
      <c r="AN166">
        <v>0</v>
      </c>
    </row>
    <row r="167" spans="1:40" ht="18" customHeight="1">
      <c r="A167" t="str">
        <f>"141720230301115044340772"</f>
        <v>141720230301115044340772</v>
      </c>
      <c r="B167" t="s">
        <v>44</v>
      </c>
      <c r="C167" t="str">
        <f>"胡云芳"</f>
        <v>胡云芳</v>
      </c>
      <c r="D167" t="str">
        <f t="shared" si="69"/>
        <v>女</v>
      </c>
      <c r="E167" t="str">
        <f>"2000-1"</f>
        <v>2000-1</v>
      </c>
      <c r="F167" t="str">
        <f>"安徽市宣城市广德市"</f>
        <v>安徽市宣城市广德市</v>
      </c>
      <c r="G167" t="str">
        <f t="shared" si="68"/>
        <v>汉族</v>
      </c>
      <c r="H167" t="str">
        <f>"共青团员"</f>
        <v>共青团员</v>
      </c>
      <c r="I167" t="str">
        <f>"342523200001239127"</f>
        <v>342523200001239127</v>
      </c>
      <c r="J167" t="str">
        <f t="shared" si="72"/>
        <v>未婚</v>
      </c>
      <c r="K167" t="str">
        <f t="shared" si="70"/>
        <v>本科</v>
      </c>
      <c r="L167" t="str">
        <f>"学士"</f>
        <v>学士</v>
      </c>
      <c r="M167" t="str">
        <f>"学前教育"</f>
        <v>学前教育</v>
      </c>
      <c r="N167" t="str">
        <f>"淮南师范学院"</f>
        <v>淮南师范学院</v>
      </c>
      <c r="O167" t="str">
        <f>"2023-7-1"</f>
        <v>2023-7-1</v>
      </c>
      <c r="P167" t="str">
        <f>"本科"</f>
        <v>本科</v>
      </c>
      <c r="Q167" t="str">
        <f>"学士"</f>
        <v>学士</v>
      </c>
      <c r="R167" t="str">
        <f t="shared" si="73"/>
        <v>学前教育</v>
      </c>
      <c r="S167" t="str">
        <f>"淮南师范学院"</f>
        <v>淮南师范学院</v>
      </c>
      <c r="T167" t="str">
        <f>"2023-7-1"</f>
        <v>2023-7-1</v>
      </c>
      <c r="U167" t="str">
        <f>"幼儿园教师合格证"</f>
        <v>幼儿园教师合格证</v>
      </c>
      <c r="V167" t="str">
        <f>"无"</f>
        <v>无</v>
      </c>
      <c r="W167" t="str">
        <f t="shared" si="71"/>
        <v>无</v>
      </c>
      <c r="X167" t="str">
        <f t="shared" si="74"/>
        <v>是</v>
      </c>
      <c r="Y167" t="str">
        <f>"淮南师范学院"</f>
        <v>淮南师范学院</v>
      </c>
      <c r="Z167" t="str">
        <f>"17756920310"</f>
        <v>17756920310</v>
      </c>
      <c r="AA167" t="str">
        <f>"安徽省宣城市广德市"</f>
        <v>安徽省宣城市广德市</v>
      </c>
      <c r="AB167" s="1" t="str">
        <f>"2016.9-2019.6于安徽广德市中学就读；
2019.9-至今于淮南师范学院就读本科。"</f>
        <v>2016.9-2019.6于安徽广德市中学就读；
2019.9-至今于淮南师范学院就读本科。</v>
      </c>
      <c r="AC167" s="1" t="str">
        <f>"奖：在本科期间，获得三等奖学金；手工作品获得专业一等奖且被收藏；教育学院第七届舞蹈大赛三等奖；学院专业汇报演出特等奖；征文比赛院级一等奖校级二等奖。
惩：无"</f>
        <v>奖：在本科期间，获得三等奖学金；手工作品获得专业一等奖且被收藏；教育学院第七届舞蹈大赛三等奖；学院专业汇报演出特等奖；征文比赛院级一等奖校级二等奖。
惩：无</v>
      </c>
      <c r="AD167" t="str">
        <f>"掌握基本计算机功能，能够熟练使用软件，乐于使用计算机软件创作。爱好绘画，乐于学习各类绘画方式。"</f>
        <v>掌握基本计算机功能，能够熟练使用软件，乐于使用计算机软件创作。爱好绘画，乐于学习各类绘画方式。</v>
      </c>
      <c r="AE167" t="str">
        <f>"父女|胡春红|无|无|母女|申登会|无|无||||"</f>
        <v>父女|胡春红|无|无|母女|申登会|无|无||||</v>
      </c>
      <c r="AF167" s="2">
        <v>44986.623923611114</v>
      </c>
      <c r="AG167">
        <v>1</v>
      </c>
      <c r="AH167">
        <v>1</v>
      </c>
      <c r="AI167">
        <v>0</v>
      </c>
      <c r="AJ167" t="s">
        <v>208</v>
      </c>
      <c r="AK167" s="4">
        <v>81.9</v>
      </c>
      <c r="AL167" s="4">
        <v>72.5</v>
      </c>
      <c r="AM167" s="4">
        <v>77.2</v>
      </c>
      <c r="AN167">
        <v>0</v>
      </c>
    </row>
    <row r="168" spans="1:40" ht="18" customHeight="1">
      <c r="A168" t="str">
        <f>"141720230301115641340773"</f>
        <v>141720230301115641340773</v>
      </c>
      <c r="B168" t="s">
        <v>44</v>
      </c>
      <c r="C168" t="str">
        <f>"何宇琪"</f>
        <v>何宇琪</v>
      </c>
      <c r="D168" t="str">
        <f t="shared" si="69"/>
        <v>女</v>
      </c>
      <c r="E168" t="str">
        <f>"1999-11"</f>
        <v>1999-11</v>
      </c>
      <c r="F168" t="str">
        <f>"安徽芜湖"</f>
        <v>安徽芜湖</v>
      </c>
      <c r="G168" t="str">
        <f t="shared" si="68"/>
        <v>汉族</v>
      </c>
      <c r="H168" t="str">
        <f>"共青团员"</f>
        <v>共青团员</v>
      </c>
      <c r="I168" t="str">
        <f>"340223199911220026"</f>
        <v>340223199911220026</v>
      </c>
      <c r="J168" t="str">
        <f t="shared" si="72"/>
        <v>未婚</v>
      </c>
      <c r="K168" t="str">
        <f t="shared" si="70"/>
        <v>本科</v>
      </c>
      <c r="L168" t="str">
        <f>"学士"</f>
        <v>学士</v>
      </c>
      <c r="M168" t="str">
        <f>"视觉传达设计"</f>
        <v>视觉传达设计</v>
      </c>
      <c r="N168" t="str">
        <f>"安徽大学"</f>
        <v>安徽大学</v>
      </c>
      <c r="O168" t="str">
        <f>"2021-6"</f>
        <v>2021-6</v>
      </c>
      <c r="P168" t="str">
        <f>"专科"</f>
        <v>专科</v>
      </c>
      <c r="Q168" t="str">
        <f>"无"</f>
        <v>无</v>
      </c>
      <c r="R168" t="str">
        <f t="shared" si="73"/>
        <v>学前教育</v>
      </c>
      <c r="S168" t="str">
        <f>"合肥师范学院"</f>
        <v>合肥师范学院</v>
      </c>
      <c r="T168" t="str">
        <f>"2019-6"</f>
        <v>2019-6</v>
      </c>
      <c r="U168" t="str">
        <f>"幼儿园教师资格证 小学美术教师资格证 北京中国舞教师资格证"</f>
        <v>幼儿园教师资格证 小学美术教师资格证 北京中国舞教师资格证</v>
      </c>
      <c r="V168" t="str">
        <f>"无"</f>
        <v>无</v>
      </c>
      <c r="W168" t="str">
        <f t="shared" si="71"/>
        <v>无</v>
      </c>
      <c r="X168" t="str">
        <f t="shared" si="74"/>
        <v>是</v>
      </c>
      <c r="Y168" t="str">
        <f>"无"</f>
        <v>无</v>
      </c>
      <c r="Z168" t="str">
        <f>"17730126510"</f>
        <v>17730126510</v>
      </c>
      <c r="AA168" t="str">
        <f>"安徽省芜湖市南陵县籍山镇文庙路商住楼4单元501"</f>
        <v>安徽省芜湖市南陵县籍山镇文庙路商住楼4单元501</v>
      </c>
      <c r="AB168" s="1" t="str">
        <f>"2014.9-2017.6 芜湖师范学校 学生
2017.9-2019.6 合肥师范学院 学生 
2019.9-2021.6 安徽大学 学生
2017.5-2017.7 小荷花舞蹈中心 舞蹈教师
2019.7-2019.9 神墨美术中心 美术教师
"</f>
        <v>2014.9-2017.6 芜湖师范学校 学生
2017.9-2019.6 合肥师范学院 学生 
2019.9-2021.6 安徽大学 学生
2017.5-2017.7 小荷花舞蹈中心 舞蹈教师
2019.7-2019.9 神墨美术中心 美术教师
</v>
      </c>
      <c r="AC168" t="str">
        <f>"无"</f>
        <v>无</v>
      </c>
      <c r="AD168" t="str">
        <f>"美术 舞蹈 游泳"</f>
        <v>美术 舞蹈 游泳</v>
      </c>
      <c r="AE168" t="str">
        <f>"母女|汪海霞|芜湖亨运有限公司|统计师|父女|何森|芜湖英格瓷有限公司|工程师||||"</f>
        <v>母女|汪海霞|芜湖亨运有限公司|统计师|父女|何森|芜湖英格瓷有限公司|工程师||||</v>
      </c>
      <c r="AF168" s="2">
        <v>44987.59542824074</v>
      </c>
      <c r="AG168">
        <v>1</v>
      </c>
      <c r="AH168">
        <v>1</v>
      </c>
      <c r="AI168">
        <v>0</v>
      </c>
      <c r="AJ168" t="s">
        <v>209</v>
      </c>
      <c r="AK168" s="4" t="s">
        <v>264</v>
      </c>
      <c r="AL168" s="4" t="s">
        <v>264</v>
      </c>
      <c r="AM168" s="4" t="s">
        <v>264</v>
      </c>
      <c r="AN168">
        <v>0</v>
      </c>
    </row>
    <row r="169" spans="1:40" ht="18" customHeight="1">
      <c r="A169" t="str">
        <f>"141720230301122005340776"</f>
        <v>141720230301122005340776</v>
      </c>
      <c r="B169" t="s">
        <v>44</v>
      </c>
      <c r="C169" t="str">
        <f>"刘晴晴"</f>
        <v>刘晴晴</v>
      </c>
      <c r="D169" t="str">
        <f t="shared" si="69"/>
        <v>女</v>
      </c>
      <c r="E169" t="str">
        <f>"2001-1"</f>
        <v>2001-1</v>
      </c>
      <c r="F169" t="str">
        <f>"安徽亳州市利辛县"</f>
        <v>安徽亳州市利辛县</v>
      </c>
      <c r="G169" t="str">
        <f t="shared" si="68"/>
        <v>汉族</v>
      </c>
      <c r="H169" t="str">
        <f>"群众"</f>
        <v>群众</v>
      </c>
      <c r="I169" t="str">
        <f>"341623200101011108"</f>
        <v>341623200101011108</v>
      </c>
      <c r="J169" t="str">
        <f t="shared" si="72"/>
        <v>未婚</v>
      </c>
      <c r="K169" t="str">
        <f>"成人本科"</f>
        <v>成人本科</v>
      </c>
      <c r="L169" t="str">
        <f>"无"</f>
        <v>无</v>
      </c>
      <c r="M169" t="str">
        <f>"学前教育"</f>
        <v>学前教育</v>
      </c>
      <c r="N169" t="str">
        <f>"淮北师范大学"</f>
        <v>淮北师范大学</v>
      </c>
      <c r="O169" t="str">
        <f>"20240701"</f>
        <v>20240701</v>
      </c>
      <c r="P169" t="str">
        <f>"大专"</f>
        <v>大专</v>
      </c>
      <c r="Q169" t="str">
        <f>"无"</f>
        <v>无</v>
      </c>
      <c r="R169" t="str">
        <f>"小学教育"</f>
        <v>小学教育</v>
      </c>
      <c r="S169" t="str">
        <f>"宿州职业技术学院"</f>
        <v>宿州职业技术学院</v>
      </c>
      <c r="T169" t="str">
        <f>"20210701"</f>
        <v>20210701</v>
      </c>
      <c r="U169" t="str">
        <f>"幼儿教师资格证，普通话二级甲等，育婴师初级"</f>
        <v>幼儿教师资格证，普通话二级甲等，育婴师初级</v>
      </c>
      <c r="V169" t="str">
        <f>"1"</f>
        <v>1</v>
      </c>
      <c r="W169" t="str">
        <f t="shared" si="71"/>
        <v>无</v>
      </c>
      <c r="X169" t="str">
        <f t="shared" si="74"/>
        <v>是</v>
      </c>
      <c r="Y169" t="str">
        <f>"待业"</f>
        <v>待业</v>
      </c>
      <c r="Z169" t="str">
        <f>"18456726371"</f>
        <v>18456726371</v>
      </c>
      <c r="AA169" t="str">
        <f>"合肥广福花园B区"</f>
        <v>合肥广福花园B区</v>
      </c>
      <c r="AB169" s="1" t="str">
        <f>"2015.9-2018.7亳州幼儿师范学校 学生
2018.9-2021.7宿州职业技术学院 学生
2021.2-2022.6利辛县实验幼儿园 配班教师"</f>
        <v>2015.9-2018.7亳州幼儿师范学校 学生
2018.9-2021.7宿州职业技术学院 学生
2021.2-2022.6利辛县实验幼儿园 配班教师</v>
      </c>
      <c r="AC169" t="str">
        <f>"利辛县实验幼儿园获宣传小能手鼓励奖"</f>
        <v>利辛县实验幼儿园获宣传小能手鼓励奖</v>
      </c>
      <c r="AD169" t="str">
        <f>"爱好 弹琴"</f>
        <v>爱好 弹琴</v>
      </c>
      <c r="AE169" t="str">
        <f>"张利|母女|利辛县宝璋医院|护师|刘东峰|父女|自由职业|工人|刘玉|姐弟|安徽科技学院|学生"</f>
        <v>张利|母女|利辛县宝璋医院|护师|刘东峰|父女|自由职业|工人|刘玉|姐弟|安徽科技学院|学生</v>
      </c>
      <c r="AF169" s="2">
        <v>44986.625914351855</v>
      </c>
      <c r="AG169">
        <v>1</v>
      </c>
      <c r="AH169">
        <v>1</v>
      </c>
      <c r="AI169">
        <v>0</v>
      </c>
      <c r="AJ169" t="s">
        <v>210</v>
      </c>
      <c r="AK169" s="4" t="s">
        <v>264</v>
      </c>
      <c r="AL169" s="4" t="s">
        <v>264</v>
      </c>
      <c r="AM169" s="4" t="s">
        <v>264</v>
      </c>
      <c r="AN169">
        <v>0</v>
      </c>
    </row>
    <row r="170" spans="1:40" ht="18" customHeight="1">
      <c r="A170" t="str">
        <f>"141720230301122808340779"</f>
        <v>141720230301122808340779</v>
      </c>
      <c r="B170" t="s">
        <v>44</v>
      </c>
      <c r="C170" t="str">
        <f>"魏婉晴"</f>
        <v>魏婉晴</v>
      </c>
      <c r="D170" t="str">
        <f t="shared" si="69"/>
        <v>女</v>
      </c>
      <c r="E170" t="str">
        <f>"2003-11"</f>
        <v>2003-11</v>
      </c>
      <c r="F170" t="str">
        <f>"安徽省亳州市蒙城县"</f>
        <v>安徽省亳州市蒙城县</v>
      </c>
      <c r="G170" t="str">
        <f t="shared" si="68"/>
        <v>汉族</v>
      </c>
      <c r="H170" t="str">
        <f>"共青团员"</f>
        <v>共青团员</v>
      </c>
      <c r="I170" t="str">
        <f>"341622200311283025"</f>
        <v>341622200311283025</v>
      </c>
      <c r="J170" t="str">
        <f t="shared" si="72"/>
        <v>未婚</v>
      </c>
      <c r="K170" t="str">
        <f>"大专"</f>
        <v>大专</v>
      </c>
      <c r="L170" t="str">
        <f>"大专"</f>
        <v>大专</v>
      </c>
      <c r="M170" t="str">
        <f>"学前教育"</f>
        <v>学前教育</v>
      </c>
      <c r="N170" t="str">
        <f>"池州职业技术学院"</f>
        <v>池州职业技术学院</v>
      </c>
      <c r="O170" t="str">
        <f>"2021"</f>
        <v>2021</v>
      </c>
      <c r="P170" t="str">
        <f>"大专"</f>
        <v>大专</v>
      </c>
      <c r="Q170" t="str">
        <f>"大专"</f>
        <v>大专</v>
      </c>
      <c r="R170" t="str">
        <f aca="true" t="shared" si="75" ref="R170:R192">"学前教育"</f>
        <v>学前教育</v>
      </c>
      <c r="S170" t="str">
        <f>"池州职业技术学院"</f>
        <v>池州职业技术学院</v>
      </c>
      <c r="T170" t="str">
        <f>"2021"</f>
        <v>2021</v>
      </c>
      <c r="U170" t="str">
        <f>"教师资格证"</f>
        <v>教师资格证</v>
      </c>
      <c r="V170" t="str">
        <f>"两年"</f>
        <v>两年</v>
      </c>
      <c r="W170" t="str">
        <f t="shared" si="71"/>
        <v>无</v>
      </c>
      <c r="X170" t="str">
        <f t="shared" si="74"/>
        <v>是</v>
      </c>
      <c r="Y170" t="str">
        <f>"蒙城县第三幼儿园"</f>
        <v>蒙城县第三幼儿园</v>
      </c>
      <c r="Z170" t="str">
        <f>"18726722250"</f>
        <v>18726722250</v>
      </c>
      <c r="AA170" t="str">
        <f>"蒙城县十里小区"</f>
        <v>蒙城县十里小区</v>
      </c>
      <c r="AB170" t="str">
        <f>"2018.9-2021.6池州职业技术学院学生;2021-2023蒙城县第三幼儿园教师"</f>
        <v>2018.9-2021.6池州职业技术学院学生;2021-2023蒙城县第三幼儿园教师</v>
      </c>
      <c r="AC170" t="str">
        <f>"无"</f>
        <v>无</v>
      </c>
      <c r="AD170" t="str">
        <f>"钢琴舞蹈美术"</f>
        <v>钢琴舞蹈美术</v>
      </c>
      <c r="AE170" t="str">
        <f>"父亲|魏建|个体||母亲|乔美兰|个体|||||"</f>
        <v>父亲|魏建|个体||母亲|乔美兰|个体|||||</v>
      </c>
      <c r="AF170" s="2">
        <v>44986.57042824074</v>
      </c>
      <c r="AG170">
        <v>1</v>
      </c>
      <c r="AH170">
        <v>1</v>
      </c>
      <c r="AI170">
        <v>0</v>
      </c>
      <c r="AJ170" t="s">
        <v>211</v>
      </c>
      <c r="AK170" s="4">
        <v>59.9</v>
      </c>
      <c r="AL170" s="4">
        <v>62.5</v>
      </c>
      <c r="AM170" s="4">
        <v>61.2</v>
      </c>
      <c r="AN170">
        <v>0</v>
      </c>
    </row>
    <row r="171" spans="1:40" ht="18" customHeight="1">
      <c r="A171" t="str">
        <f>"141720230301131625340784"</f>
        <v>141720230301131625340784</v>
      </c>
      <c r="B171" t="s">
        <v>44</v>
      </c>
      <c r="C171" t="str">
        <f>"秦晨晨"</f>
        <v>秦晨晨</v>
      </c>
      <c r="D171" t="str">
        <f t="shared" si="69"/>
        <v>女</v>
      </c>
      <c r="E171" t="str">
        <f>"2001-8-29"</f>
        <v>2001-8-29</v>
      </c>
      <c r="F171" t="str">
        <f>"安徽庐江县"</f>
        <v>安徽庐江县</v>
      </c>
      <c r="G171" t="str">
        <f t="shared" si="68"/>
        <v>汉族</v>
      </c>
      <c r="H171" t="str">
        <f>"共青团员"</f>
        <v>共青团员</v>
      </c>
      <c r="I171" t="str">
        <f>"342622200108290626"</f>
        <v>342622200108290626</v>
      </c>
      <c r="J171" t="str">
        <f t="shared" si="72"/>
        <v>未婚</v>
      </c>
      <c r="K171" t="str">
        <f>"大学专科"</f>
        <v>大学专科</v>
      </c>
      <c r="L171" t="str">
        <f>"暂无"</f>
        <v>暂无</v>
      </c>
      <c r="M171" t="str">
        <f>"学前教育"</f>
        <v>学前教育</v>
      </c>
      <c r="N171" t="str">
        <f>"滁州城市职业学院"</f>
        <v>滁州城市职业学院</v>
      </c>
      <c r="O171" t="str">
        <f>"2022.7"</f>
        <v>2022.7</v>
      </c>
      <c r="P171" t="str">
        <f>"大学专科"</f>
        <v>大学专科</v>
      </c>
      <c r="Q171" t="str">
        <f>"暂无"</f>
        <v>暂无</v>
      </c>
      <c r="R171" t="str">
        <f t="shared" si="75"/>
        <v>学前教育</v>
      </c>
      <c r="S171" t="str">
        <f>"滁州城市职业学院"</f>
        <v>滁州城市职业学院</v>
      </c>
      <c r="T171" t="str">
        <f>"2022.7"</f>
        <v>2022.7</v>
      </c>
      <c r="U171" t="str">
        <f>"幼儿园教师资格证"</f>
        <v>幼儿园教师资格证</v>
      </c>
      <c r="V171" t="str">
        <f>"无"</f>
        <v>无</v>
      </c>
      <c r="W171" t="str">
        <f t="shared" si="71"/>
        <v>无</v>
      </c>
      <c r="X171" t="str">
        <f t="shared" si="74"/>
        <v>是</v>
      </c>
      <c r="Y171" t="str">
        <f>"庐江县庐城镇鲍井社区"</f>
        <v>庐江县庐城镇鲍井社区</v>
      </c>
      <c r="Z171" t="str">
        <f>"19856901568"</f>
        <v>19856901568</v>
      </c>
      <c r="AA171" t="str">
        <f>"合肥市庐江县翠绿园"</f>
        <v>合肥市庐江县翠绿园</v>
      </c>
      <c r="AB171" s="1" t="str">
        <f>"2016.9-2019.6 庐江县第二中学 学生
2019.9-2022.7 滁州城市职业学院 学生
2021.4-2021.5 庐江县幼儿教育集团翰林院幼儿园分园 见习
2022.9-至今 鲍井社区党群服务中心 社区小管家"</f>
        <v>2016.9-2019.6 庐江县第二中学 学生
2019.9-2022.7 滁州城市职业学院 学生
2021.4-2021.5 庐江县幼儿教育集团翰林院幼儿园分园 见习
2022.9-至今 鲍井社区党群服务中心 社区小管家</v>
      </c>
      <c r="AC171" t="str">
        <f>"无"</f>
        <v>无</v>
      </c>
      <c r="AD171" t="str">
        <f>"中国舞蹈考级1-3 素描十级"</f>
        <v>中国舞蹈考级1-3 素描十级</v>
      </c>
      <c r="AE171" t="str">
        <f>"秦正年|父亲|水务集团|修理工|马昌菊|母亲|暂无|家庭主妇||||"</f>
        <v>秦正年|父亲|水务集团|修理工|马昌菊|母亲|暂无|家庭主妇||||</v>
      </c>
      <c r="AF171" s="2">
        <v>44987.52630787037</v>
      </c>
      <c r="AG171">
        <v>1</v>
      </c>
      <c r="AH171">
        <v>1</v>
      </c>
      <c r="AI171">
        <v>0</v>
      </c>
      <c r="AJ171" t="s">
        <v>212</v>
      </c>
      <c r="AK171" s="4">
        <v>64.9</v>
      </c>
      <c r="AL171" s="4">
        <v>63.9</v>
      </c>
      <c r="AM171" s="4">
        <v>64.4</v>
      </c>
      <c r="AN171">
        <v>0</v>
      </c>
    </row>
    <row r="172" spans="1:40" ht="18" customHeight="1">
      <c r="A172" t="str">
        <f>"141720230301131814340786"</f>
        <v>141720230301131814340786</v>
      </c>
      <c r="B172" t="s">
        <v>44</v>
      </c>
      <c r="C172" t="str">
        <f>"陆楠楠"</f>
        <v>陆楠楠</v>
      </c>
      <c r="D172" t="str">
        <f t="shared" si="69"/>
        <v>女</v>
      </c>
      <c r="E172" t="str">
        <f>"1990-11"</f>
        <v>1990-11</v>
      </c>
      <c r="F172" t="str">
        <f>"安徽省宿州市埇桥区"</f>
        <v>安徽省宿州市埇桥区</v>
      </c>
      <c r="G172" t="str">
        <f t="shared" si="68"/>
        <v>汉族</v>
      </c>
      <c r="H172" t="str">
        <f>"群众"</f>
        <v>群众</v>
      </c>
      <c r="I172" t="str">
        <f>"342201199011042846"</f>
        <v>342201199011042846</v>
      </c>
      <c r="J172" t="str">
        <f>"已婚"</f>
        <v>已婚</v>
      </c>
      <c r="K172" t="str">
        <f>"本科"</f>
        <v>本科</v>
      </c>
      <c r="L172" t="str">
        <f>"无"</f>
        <v>无</v>
      </c>
      <c r="M172" t="str">
        <f>"学前教育"</f>
        <v>学前教育</v>
      </c>
      <c r="N172" t="str">
        <f>"山东师范大学"</f>
        <v>山东师范大学</v>
      </c>
      <c r="O172" t="str">
        <f>"2012年"</f>
        <v>2012年</v>
      </c>
      <c r="P172" t="str">
        <f>"本科"</f>
        <v>本科</v>
      </c>
      <c r="Q172" t="str">
        <f>"无"</f>
        <v>无</v>
      </c>
      <c r="R172" t="str">
        <f t="shared" si="75"/>
        <v>学前教育</v>
      </c>
      <c r="S172" t="str">
        <f>"山东师范大学"</f>
        <v>山东师范大学</v>
      </c>
      <c r="T172" t="str">
        <f>"2012年"</f>
        <v>2012年</v>
      </c>
      <c r="U172" t="str">
        <f>"幼儿园教师资格证"</f>
        <v>幼儿园教师资格证</v>
      </c>
      <c r="V172" t="str">
        <f>"11年"</f>
        <v>11年</v>
      </c>
      <c r="W172" t="str">
        <f t="shared" si="71"/>
        <v>无</v>
      </c>
      <c r="X172" t="str">
        <f>"否"</f>
        <v>否</v>
      </c>
      <c r="Y172" t="str">
        <f>"济南夏山儿童之家"</f>
        <v>济南夏山儿童之家</v>
      </c>
      <c r="Z172" t="str">
        <f>"18563702633"</f>
        <v>18563702633</v>
      </c>
      <c r="AA172" t="str">
        <f>"山东省济南市"</f>
        <v>山东省济南市</v>
      </c>
      <c r="AB172" s="1" t="str">
        <f>"2006年9月——2009年6月，宿州市符离中学，学生；2009年9月——2012年7月，山东英才学院，学生；2012年8月——至今，济南夏山儿童之家，员工。
"</f>
        <v>2006年9月——2009年6月，宿州市符离中学，学生；2009年9月——2012年7月，山东英才学院，学生；2012年8月——至今，济南夏山儿童之家，员工。
</v>
      </c>
      <c r="AC172" t="str">
        <f>"无"</f>
        <v>无</v>
      </c>
      <c r="AD172" t="str">
        <f>"蒙台梭利教学"</f>
        <v>蒙台梭利教学</v>
      </c>
      <c r="AE172" t="str">
        <f>"夫妻|王军锋|卓小越电子商务有限公司|经理|母子|王彦卓|||母女|王茗诗||"</f>
        <v>夫妻|王军锋|卓小越电子商务有限公司|经理|母子|王彦卓|||母女|王茗诗||</v>
      </c>
      <c r="AF172" s="2">
        <v>44988.376979166664</v>
      </c>
      <c r="AG172">
        <v>1</v>
      </c>
      <c r="AH172">
        <v>1</v>
      </c>
      <c r="AI172">
        <v>0</v>
      </c>
      <c r="AJ172" t="s">
        <v>213</v>
      </c>
      <c r="AK172" s="4">
        <v>69</v>
      </c>
      <c r="AL172" s="4">
        <v>65.9</v>
      </c>
      <c r="AM172" s="4">
        <v>67.45</v>
      </c>
      <c r="AN172">
        <v>0</v>
      </c>
    </row>
    <row r="173" spans="1:40" ht="18" customHeight="1">
      <c r="A173" t="str">
        <f>"141720230301135136340790"</f>
        <v>141720230301135136340790</v>
      </c>
      <c r="B173" t="s">
        <v>44</v>
      </c>
      <c r="C173" t="str">
        <f>"江洁娟"</f>
        <v>江洁娟</v>
      </c>
      <c r="D173" t="str">
        <f t="shared" si="69"/>
        <v>女</v>
      </c>
      <c r="E173" t="str">
        <f>"1998-7"</f>
        <v>1998-7</v>
      </c>
      <c r="F173" t="str">
        <f>"安徽宿松"</f>
        <v>安徽宿松</v>
      </c>
      <c r="G173" t="str">
        <f t="shared" si="68"/>
        <v>汉族</v>
      </c>
      <c r="H173" t="str">
        <f aca="true" t="shared" si="76" ref="H173:H178">"共青团员"</f>
        <v>共青团员</v>
      </c>
      <c r="I173" t="str">
        <f>"340826199807043666"</f>
        <v>340826199807043666</v>
      </c>
      <c r="J173" t="str">
        <f aca="true" t="shared" si="77" ref="J173:J183">"未婚"</f>
        <v>未婚</v>
      </c>
      <c r="K173" t="str">
        <f>"大学本科"</f>
        <v>大学本科</v>
      </c>
      <c r="L173" t="str">
        <f>"无"</f>
        <v>无</v>
      </c>
      <c r="M173" t="str">
        <f>"学前教育"</f>
        <v>学前教育</v>
      </c>
      <c r="N173" t="str">
        <f>"晋中学院"</f>
        <v>晋中学院</v>
      </c>
      <c r="O173" t="str">
        <f>"2023-6"</f>
        <v>2023-6</v>
      </c>
      <c r="P173" t="str">
        <f>"大学本科"</f>
        <v>大学本科</v>
      </c>
      <c r="Q173" t="str">
        <f>"无"</f>
        <v>无</v>
      </c>
      <c r="R173" t="str">
        <f t="shared" si="75"/>
        <v>学前教育</v>
      </c>
      <c r="S173" t="str">
        <f>"晋中学院"</f>
        <v>晋中学院</v>
      </c>
      <c r="T173" t="str">
        <f>"2023-6"</f>
        <v>2023-6</v>
      </c>
      <c r="U173" t="str">
        <f>"无(幼儿教师资格笔面试已通过)"</f>
        <v>无(幼儿教师资格笔面试已通过)</v>
      </c>
      <c r="V173" t="str">
        <f>"无"</f>
        <v>无</v>
      </c>
      <c r="W173" t="str">
        <f t="shared" si="71"/>
        <v>无</v>
      </c>
      <c r="X173" t="str">
        <f aca="true" t="shared" si="78" ref="X173:X219">"是"</f>
        <v>是</v>
      </c>
      <c r="Y173" t="str">
        <f>"无"</f>
        <v>无</v>
      </c>
      <c r="Z173" t="str">
        <f>"13966978321"</f>
        <v>13966978321</v>
      </c>
      <c r="AA173" t="str">
        <f>"安徽省安庆市宿松县孚玉镇古塔社区汤山新村18-3号"</f>
        <v>安徽省安庆市宿松县孚玉镇古塔社区汤山新村18-3号</v>
      </c>
      <c r="AB173" s="1" t="str">
        <f>"2015.9-2018.6花凉中学学生；
2019.9-至今晋中学院学生。
"</f>
        <v>2015.9-2018.6花凉中学学生；
2019.9-至今晋中学院学生。
</v>
      </c>
      <c r="AC173" t="str">
        <f>"曾获得大学校园内演讲比赛优秀奖。"</f>
        <v>曾获得大学校园内演讲比赛优秀奖。</v>
      </c>
      <c r="AD173" t="str">
        <f>"英语水平较好，已过六级；喜欢绘画。"</f>
        <v>英语水平较好，已过六级；喜欢绘画。</v>
      </c>
      <c r="AE173" t="str">
        <f>"父女|江东华|无|务工|母女|石杏花|无|务工|姐妹|江元娟|广西师范大学|硕士"</f>
        <v>父女|江东华|无|务工|母女|石杏花|无|务工|姐妹|江元娟|广西师范大学|硕士</v>
      </c>
      <c r="AF173" s="2">
        <v>44987.51527777778</v>
      </c>
      <c r="AG173">
        <v>1</v>
      </c>
      <c r="AH173">
        <v>1</v>
      </c>
      <c r="AI173">
        <v>0</v>
      </c>
      <c r="AJ173" t="s">
        <v>214</v>
      </c>
      <c r="AK173" s="4" t="s">
        <v>264</v>
      </c>
      <c r="AL173" s="4" t="s">
        <v>264</v>
      </c>
      <c r="AM173" s="4" t="s">
        <v>264</v>
      </c>
      <c r="AN173">
        <v>0</v>
      </c>
    </row>
    <row r="174" spans="1:40" ht="18" customHeight="1">
      <c r="A174" t="str">
        <f>"141720230301155603340798"</f>
        <v>141720230301155603340798</v>
      </c>
      <c r="B174" t="s">
        <v>44</v>
      </c>
      <c r="C174" t="str">
        <f>"张鹤雨"</f>
        <v>张鹤雨</v>
      </c>
      <c r="D174" t="str">
        <f t="shared" si="69"/>
        <v>女</v>
      </c>
      <c r="E174" t="str">
        <f>"1999-06"</f>
        <v>1999-06</v>
      </c>
      <c r="F174" t="str">
        <f>"安徽阜阳市"</f>
        <v>安徽阜阳市</v>
      </c>
      <c r="G174" t="str">
        <f t="shared" si="68"/>
        <v>汉族</v>
      </c>
      <c r="H174" t="str">
        <f t="shared" si="76"/>
        <v>共青团员</v>
      </c>
      <c r="I174" t="str">
        <f>"341225199906287721"</f>
        <v>341225199906287721</v>
      </c>
      <c r="J174" t="str">
        <f t="shared" si="77"/>
        <v>未婚</v>
      </c>
      <c r="K174" t="str">
        <f>"本科"</f>
        <v>本科</v>
      </c>
      <c r="L174" t="str">
        <f>"学士"</f>
        <v>学士</v>
      </c>
      <c r="M174" t="str">
        <f>"表演（中国舞）"</f>
        <v>表演（中国舞）</v>
      </c>
      <c r="N174" t="str">
        <f>"安徽大学"</f>
        <v>安徽大学</v>
      </c>
      <c r="O174" t="str">
        <f>"2020.06"</f>
        <v>2020.06</v>
      </c>
      <c r="P174" t="str">
        <f>"大专"</f>
        <v>大专</v>
      </c>
      <c r="Q174" t="str">
        <f>"无"</f>
        <v>无</v>
      </c>
      <c r="R174" t="str">
        <f t="shared" si="75"/>
        <v>学前教育</v>
      </c>
      <c r="S174" t="str">
        <f>"合肥师范学院"</f>
        <v>合肥师范学院</v>
      </c>
      <c r="T174" t="str">
        <f>"2018.06"</f>
        <v>2018.06</v>
      </c>
      <c r="U174" t="str">
        <f>"20183420812000326"</f>
        <v>20183420812000326</v>
      </c>
      <c r="V174" t="str">
        <f>"两年"</f>
        <v>两年</v>
      </c>
      <c r="W174" t="str">
        <f t="shared" si="71"/>
        <v>无</v>
      </c>
      <c r="X174" t="str">
        <f t="shared" si="78"/>
        <v>是</v>
      </c>
      <c r="Y174" t="str">
        <f>"合肥市瑶海青少年活动中心"</f>
        <v>合肥市瑶海青少年活动中心</v>
      </c>
      <c r="Z174" t="str">
        <f>"15955161786"</f>
        <v>15955161786</v>
      </c>
      <c r="AA174" t="str">
        <f>"安徽省合肥市瑶海区华润紫云府"</f>
        <v>安徽省合肥市瑶海区华润紫云府</v>
      </c>
      <c r="AB174" s="1" t="str">
        <f>"2019.09-2018.06  合肥师范学院 学生
2018.09-2020.06  安徽大学  学生
2020.08-至今  合肥市瑶海青少年活动中心 员工"</f>
        <v>2019.09-2018.06  合肥师范学院 学生
2018.09-2020.06  安徽大学  学生
2020.08-至今  合肥市瑶海青少年活动中心 员工</v>
      </c>
      <c r="AC174" s="1" t="s">
        <v>56</v>
      </c>
      <c r="AD174" t="str">
        <f>"特长舞蹈专业能力强"</f>
        <v>特长舞蹈专业能力强</v>
      </c>
      <c r="AE174" t="str">
        <f>"父亲|张雷|王化镇卫生院|院长|母亲|王艳|王化镇中心校|主任||||"</f>
        <v>父亲|张雷|王化镇卫生院|院长|母亲|王艳|王化镇中心校|主任||||</v>
      </c>
      <c r="AF174" s="2">
        <v>44987.55635416666</v>
      </c>
      <c r="AG174">
        <v>1</v>
      </c>
      <c r="AH174">
        <v>1</v>
      </c>
      <c r="AI174">
        <v>0</v>
      </c>
      <c r="AJ174" t="s">
        <v>215</v>
      </c>
      <c r="AK174" s="4" t="s">
        <v>264</v>
      </c>
      <c r="AL174" s="4" t="s">
        <v>264</v>
      </c>
      <c r="AM174" s="4" t="s">
        <v>264</v>
      </c>
      <c r="AN174">
        <v>0</v>
      </c>
    </row>
    <row r="175" spans="1:40" ht="18" customHeight="1">
      <c r="A175" t="str">
        <f>"141720230301171904340808"</f>
        <v>141720230301171904340808</v>
      </c>
      <c r="B175" t="s">
        <v>44</v>
      </c>
      <c r="C175" t="str">
        <f>"潘聿璇"</f>
        <v>潘聿璇</v>
      </c>
      <c r="D175" t="str">
        <f t="shared" si="69"/>
        <v>女</v>
      </c>
      <c r="E175" t="str">
        <f>"2001.11.7"</f>
        <v>2001.11.7</v>
      </c>
      <c r="F175" t="str">
        <f>"安徽"</f>
        <v>安徽</v>
      </c>
      <c r="G175" t="str">
        <f t="shared" si="68"/>
        <v>汉族</v>
      </c>
      <c r="H175" t="str">
        <f t="shared" si="76"/>
        <v>共青团员</v>
      </c>
      <c r="I175" t="str">
        <f>"342422200111070148"</f>
        <v>342422200111070148</v>
      </c>
      <c r="J175" t="str">
        <f t="shared" si="77"/>
        <v>未婚</v>
      </c>
      <c r="K175" t="str">
        <f>"本科"</f>
        <v>本科</v>
      </c>
      <c r="L175" t="str">
        <f>"教育学学士"</f>
        <v>教育学学士</v>
      </c>
      <c r="M175" t="str">
        <f>"学前教育"</f>
        <v>学前教育</v>
      </c>
      <c r="N175" t="str">
        <f>"淮北师范大学信息学院"</f>
        <v>淮北师范大学信息学院</v>
      </c>
      <c r="O175" t="str">
        <f>"2023.6.28"</f>
        <v>2023.6.28</v>
      </c>
      <c r="P175" t="str">
        <f>"本科"</f>
        <v>本科</v>
      </c>
      <c r="Q175" t="str">
        <f>"教育学学士"</f>
        <v>教育学学士</v>
      </c>
      <c r="R175" t="str">
        <f t="shared" si="75"/>
        <v>学前教育</v>
      </c>
      <c r="S175" t="str">
        <f>"淮北师范大学信息"</f>
        <v>淮北师范大学信息</v>
      </c>
      <c r="T175" t="str">
        <f>"2023.6.28"</f>
        <v>2023.6.28</v>
      </c>
      <c r="U175" t="str">
        <f>"普通话二甲"</f>
        <v>普通话二甲</v>
      </c>
      <c r="V175" t="str">
        <f>"无"</f>
        <v>无</v>
      </c>
      <c r="W175" t="str">
        <f t="shared" si="71"/>
        <v>无</v>
      </c>
      <c r="X175" t="str">
        <f t="shared" si="78"/>
        <v>是</v>
      </c>
      <c r="Y175" t="str">
        <f>"淮北师范大学信息学院"</f>
        <v>淮北师范大学信息学院</v>
      </c>
      <c r="Z175" t="str">
        <f>"18855469007"</f>
        <v>18855469007</v>
      </c>
      <c r="AA175" t="str">
        <f>"安徽省合肥市肥西县"</f>
        <v>安徽省合肥市肥西县</v>
      </c>
      <c r="AB175" s="1" t="str">
        <f>"2016.9-2019.6 安徽正阳中学 学生
2019.9-2023.6 安徽淮北师范大学信息学院 学生"</f>
        <v>2016.9-2019.6 安徽正阳中学 学生
2019.9-2023.6 安徽淮北师范大学信息学院 学生</v>
      </c>
      <c r="AC175" s="1" t="str">
        <f>"2019-2020年获校级三等奖学金和三好学生
2020-2021获校级三等奖学金和三好学生"</f>
        <v>2019-2020年获校级三等奖学金和三好学生
2020-2021获校级三等奖学金和三好学生</v>
      </c>
      <c r="AD175" t="str">
        <f>"喜爱阅读"</f>
        <v>喜爱阅读</v>
      </c>
      <c r="AE175" t="str">
        <f>"父女|李标|安徽省红井小学|小学教师||||||||"</f>
        <v>父女|李标|安徽省红井小学|小学教师||||||||</v>
      </c>
      <c r="AF175" s="2">
        <v>44988.39298611111</v>
      </c>
      <c r="AG175">
        <v>1</v>
      </c>
      <c r="AH175">
        <v>1</v>
      </c>
      <c r="AI175">
        <v>0</v>
      </c>
      <c r="AJ175" t="s">
        <v>216</v>
      </c>
      <c r="AK175" s="4">
        <v>73.9</v>
      </c>
      <c r="AL175" s="4">
        <v>72.7</v>
      </c>
      <c r="AM175" s="4">
        <v>73.30000000000001</v>
      </c>
      <c r="AN175">
        <v>0</v>
      </c>
    </row>
    <row r="176" spans="1:40" ht="18" customHeight="1">
      <c r="A176" t="str">
        <f>"141720230301172506340810"</f>
        <v>141720230301172506340810</v>
      </c>
      <c r="B176" t="s">
        <v>44</v>
      </c>
      <c r="C176" t="str">
        <f>"徐卉"</f>
        <v>徐卉</v>
      </c>
      <c r="D176" t="str">
        <f t="shared" si="69"/>
        <v>女</v>
      </c>
      <c r="E176" t="str">
        <f>"2001-11"</f>
        <v>2001-11</v>
      </c>
      <c r="F176" t="str">
        <f>"安徽庐江"</f>
        <v>安徽庐江</v>
      </c>
      <c r="G176" t="str">
        <f t="shared" si="68"/>
        <v>汉族</v>
      </c>
      <c r="H176" t="str">
        <f t="shared" si="76"/>
        <v>共青团员</v>
      </c>
      <c r="I176" t="str">
        <f>"342622200111164102"</f>
        <v>342622200111164102</v>
      </c>
      <c r="J176" t="str">
        <f t="shared" si="77"/>
        <v>未婚</v>
      </c>
      <c r="K176" t="str">
        <f>"专科"</f>
        <v>专科</v>
      </c>
      <c r="L176" t="str">
        <f>"无"</f>
        <v>无</v>
      </c>
      <c r="M176" t="str">
        <f>"学前教育"</f>
        <v>学前教育</v>
      </c>
      <c r="N176" t="str">
        <f>"桐城师范高等专科学校"</f>
        <v>桐城师范高等专科学校</v>
      </c>
      <c r="O176" t="str">
        <f>"2022.7"</f>
        <v>2022.7</v>
      </c>
      <c r="P176" t="str">
        <f>"专科"</f>
        <v>专科</v>
      </c>
      <c r="Q176" t="str">
        <f>"无"</f>
        <v>无</v>
      </c>
      <c r="R176" t="str">
        <f t="shared" si="75"/>
        <v>学前教育</v>
      </c>
      <c r="S176" t="str">
        <f>"桐城师范高等专科学校"</f>
        <v>桐城师范高等专科学校</v>
      </c>
      <c r="T176" t="str">
        <f>"2022.7"</f>
        <v>2022.7</v>
      </c>
      <c r="U176" t="str">
        <f>"20223407612001026"</f>
        <v>20223407612001026</v>
      </c>
      <c r="V176" t="str">
        <f>"一年半"</f>
        <v>一年半</v>
      </c>
      <c r="W176" t="str">
        <f t="shared" si="71"/>
        <v>无</v>
      </c>
      <c r="X176" t="str">
        <f t="shared" si="78"/>
        <v>是</v>
      </c>
      <c r="Y176" t="str">
        <f>"合肥鹤琴幼儿园"</f>
        <v>合肥鹤琴幼儿园</v>
      </c>
      <c r="Z176" t="str">
        <f>"18756506915"</f>
        <v>18756506915</v>
      </c>
      <c r="AA176" t="str">
        <f>"安徽省庐江县"</f>
        <v>安徽省庐江县</v>
      </c>
      <c r="AB176" s="1" t="str">
        <f>"2016.9-2019.6庐江二中学生
2019.9-2022.6桐城师范高等专科学校学生
2022.3-2023.2魏岗学校员工
2023.2-至今鹤琴幼儿园员工"</f>
        <v>2016.9-2019.6庐江二中学生
2019.9-2022.6桐城师范高等专科学校学生
2022.3-2023.2魏岗学校员工
2023.2-至今鹤琴幼儿园员工</v>
      </c>
      <c r="AC176" t="str">
        <f aca="true" t="shared" si="79" ref="AC176:AC183">"无"</f>
        <v>无</v>
      </c>
      <c r="AD176" t="str">
        <f>"绘画"</f>
        <v>绘画</v>
      </c>
      <c r="AE176" t="str">
        <f>"父女|徐冬情|无|务农|母女|盛银芝|无|务农|姐妹|徐琨|田埠学校|学生"</f>
        <v>父女|徐冬情|无|务农|母女|盛银芝|无|务农|姐妹|徐琨|田埠学校|学生</v>
      </c>
      <c r="AF176" s="2">
        <v>44987.545023148145</v>
      </c>
      <c r="AG176">
        <v>1</v>
      </c>
      <c r="AH176">
        <v>1</v>
      </c>
      <c r="AI176">
        <v>0</v>
      </c>
      <c r="AJ176" t="s">
        <v>217</v>
      </c>
      <c r="AK176" s="4">
        <v>71.3</v>
      </c>
      <c r="AL176" s="4">
        <v>69.7</v>
      </c>
      <c r="AM176" s="4">
        <v>70.5</v>
      </c>
      <c r="AN176">
        <v>0</v>
      </c>
    </row>
    <row r="177" spans="1:40" ht="18" customHeight="1">
      <c r="A177" t="str">
        <f>"141720230301174210340811"</f>
        <v>141720230301174210340811</v>
      </c>
      <c r="B177" t="s">
        <v>44</v>
      </c>
      <c r="C177" t="str">
        <f>"张舒帆"</f>
        <v>张舒帆</v>
      </c>
      <c r="D177" t="str">
        <f t="shared" si="69"/>
        <v>女</v>
      </c>
      <c r="E177" t="str">
        <f>"2000-3"</f>
        <v>2000-3</v>
      </c>
      <c r="F177" t="str">
        <f>"安徽阜南县"</f>
        <v>安徽阜南县</v>
      </c>
      <c r="G177" t="str">
        <f t="shared" si="68"/>
        <v>汉族</v>
      </c>
      <c r="H177" t="str">
        <f t="shared" si="76"/>
        <v>共青团员</v>
      </c>
      <c r="I177" t="str">
        <f>"341225200003050024"</f>
        <v>341225200003050024</v>
      </c>
      <c r="J177" t="str">
        <f t="shared" si="77"/>
        <v>未婚</v>
      </c>
      <c r="K177" t="str">
        <f>"大学本科"</f>
        <v>大学本科</v>
      </c>
      <c r="L177" t="str">
        <f>"教育学学士学位"</f>
        <v>教育学学士学位</v>
      </c>
      <c r="M177" t="str">
        <f>"学前教育"</f>
        <v>学前教育</v>
      </c>
      <c r="N177" t="str">
        <f>"桂林理工大学博文管理学院"</f>
        <v>桂林理工大学博文管理学院</v>
      </c>
      <c r="O177" t="str">
        <f>"2023年7月"</f>
        <v>2023年7月</v>
      </c>
      <c r="P177" t="str">
        <f>"大专"</f>
        <v>大专</v>
      </c>
      <c r="Q177" t="str">
        <f>"教育学学位"</f>
        <v>教育学学位</v>
      </c>
      <c r="R177" t="str">
        <f t="shared" si="75"/>
        <v>学前教育</v>
      </c>
      <c r="S177" t="str">
        <f>"广西幼儿师范高等专科学校"</f>
        <v>广西幼儿师范高等专科学校</v>
      </c>
      <c r="T177" t="str">
        <f>"2021年6月"</f>
        <v>2021年6月</v>
      </c>
      <c r="U177" t="str">
        <f>"幼儿园教师资格证、舞蹈教师资格证、普通话二甲"</f>
        <v>幼儿园教师资格证、舞蹈教师资格证、普通话二甲</v>
      </c>
      <c r="V177" t="str">
        <f>"1年"</f>
        <v>1年</v>
      </c>
      <c r="W177" t="str">
        <f t="shared" si="71"/>
        <v>无</v>
      </c>
      <c r="X177" t="str">
        <f t="shared" si="78"/>
        <v>是</v>
      </c>
      <c r="Y177" t="str">
        <f>"深圳市思考乐教育文化与科学素养有限公司"</f>
        <v>深圳市思考乐教育文化与科学素养有限公司</v>
      </c>
      <c r="Z177" t="str">
        <f>"15655868434"</f>
        <v>15655868434</v>
      </c>
      <c r="AA177" t="str">
        <f>"深圳市罗湖区莲塘村四巷21号荣昌楼"</f>
        <v>深圳市罗湖区莲塘村四巷21号荣昌楼</v>
      </c>
      <c r="AB177" s="1" t="str">
        <f>"2015.9-2018.6 安徽省阜南实验中学 语文课代表
2018.9-2021.6 广西幼儿师范高等专科学校 年级委副部
2021.9-2023.7 桂林理工大学博文管理学院 班长"</f>
        <v>2015.9-2018.6 安徽省阜南实验中学 语文课代表
2018.9-2021.6 广西幼儿师范高等专科学校 年级委副部
2021.9-2023.7 桂林理工大学博文管理学院 班长</v>
      </c>
      <c r="AC177" t="str">
        <f t="shared" si="79"/>
        <v>无</v>
      </c>
      <c r="AD177" t="str">
        <f>"钢琴、舞蹈"</f>
        <v>钢琴、舞蹈</v>
      </c>
      <c r="AE177" t="str">
        <f>"父女|张玉强|安徽阜南县黄岗镇中心卫生院|医务科科长|母女|程梅|安徽省阜南县春晖学校校医务室|校医|姐弟|张子墨|安徽省阜南县第一初级中学|学生"</f>
        <v>父女|张玉强|安徽阜南县黄岗镇中心卫生院|医务科科长|母女|程梅|安徽省阜南县春晖学校校医务室|校医|姐弟|张子墨|安徽省阜南县第一初级中学|学生</v>
      </c>
      <c r="AF177" s="2">
        <v>44987.559270833335</v>
      </c>
      <c r="AG177">
        <v>1</v>
      </c>
      <c r="AH177">
        <v>1</v>
      </c>
      <c r="AI177">
        <v>0</v>
      </c>
      <c r="AJ177" t="s">
        <v>218</v>
      </c>
      <c r="AK177" s="4" t="s">
        <v>264</v>
      </c>
      <c r="AL177" s="4" t="s">
        <v>264</v>
      </c>
      <c r="AM177" s="4" t="s">
        <v>264</v>
      </c>
      <c r="AN177">
        <v>0</v>
      </c>
    </row>
    <row r="178" spans="1:40" ht="18" customHeight="1">
      <c r="A178" t="str">
        <f>"141720230301175223340813"</f>
        <v>141720230301175223340813</v>
      </c>
      <c r="B178" t="s">
        <v>44</v>
      </c>
      <c r="C178" t="str">
        <f>"刘佑娟"</f>
        <v>刘佑娟</v>
      </c>
      <c r="D178" t="str">
        <f t="shared" si="69"/>
        <v>女</v>
      </c>
      <c r="E178" t="str">
        <f>"1997-01"</f>
        <v>1997-01</v>
      </c>
      <c r="F178" t="str">
        <f>"安徽岳西县"</f>
        <v>安徽岳西县</v>
      </c>
      <c r="G178" t="str">
        <f t="shared" si="68"/>
        <v>汉族</v>
      </c>
      <c r="H178" t="str">
        <f t="shared" si="76"/>
        <v>共青团员</v>
      </c>
      <c r="I178" t="str">
        <f>"340828199701081026"</f>
        <v>340828199701081026</v>
      </c>
      <c r="J178" t="str">
        <f t="shared" si="77"/>
        <v>未婚</v>
      </c>
      <c r="K178" t="str">
        <f>"大学本科"</f>
        <v>大学本科</v>
      </c>
      <c r="L178" t="str">
        <f>"学士"</f>
        <v>学士</v>
      </c>
      <c r="M178" t="str">
        <f>"学前教育"</f>
        <v>学前教育</v>
      </c>
      <c r="N178" t="str">
        <f>"亳州学院"</f>
        <v>亳州学院</v>
      </c>
      <c r="O178" t="str">
        <f>"2022.06"</f>
        <v>2022.06</v>
      </c>
      <c r="P178" t="str">
        <f>"大学本科"</f>
        <v>大学本科</v>
      </c>
      <c r="Q178" t="str">
        <f>"学士"</f>
        <v>学士</v>
      </c>
      <c r="R178" t="str">
        <f t="shared" si="75"/>
        <v>学前教育</v>
      </c>
      <c r="S178" t="str">
        <f>"亳州学院"</f>
        <v>亳州学院</v>
      </c>
      <c r="T178" t="str">
        <f>"2022.06"</f>
        <v>2022.06</v>
      </c>
      <c r="U178" t="str">
        <f>"有"</f>
        <v>有</v>
      </c>
      <c r="V178" t="str">
        <f>"无"</f>
        <v>无</v>
      </c>
      <c r="W178" t="str">
        <f t="shared" si="71"/>
        <v>无</v>
      </c>
      <c r="X178" t="str">
        <f t="shared" si="78"/>
        <v>是</v>
      </c>
      <c r="Y178" t="str">
        <f>"无"</f>
        <v>无</v>
      </c>
      <c r="Z178" t="str">
        <f>"15222969883"</f>
        <v>15222969883</v>
      </c>
      <c r="AA178" t="str">
        <f>"安徽省芜湖市鸠江区北京中路润津花园"</f>
        <v>安徽省芜湖市鸠江区北京中路润津花园</v>
      </c>
      <c r="AB178" s="1" t="str">
        <f>"2013.9-2017.6 安徽省岳西中学 学生
2017.6-2020.6 安徽审计职业学院 学生
2020.6-2022.6 亳州学院 学生"</f>
        <v>2013.9-2017.6 安徽省岳西中学 学生
2017.6-2020.6 安徽审计职业学院 学生
2020.6-2022.6 亳州学院 学生</v>
      </c>
      <c r="AC178" t="str">
        <f t="shared" si="79"/>
        <v>无</v>
      </c>
      <c r="AD178" t="str">
        <f>"无"</f>
        <v>无</v>
      </c>
      <c r="AE178" t="str">
        <f>"父女|刘海涛|安徽省岳西县冶溪镇金盆村|务工|母女|徐菊云|安徽省岳西县冶溪镇金盆村|务工||||"</f>
        <v>父女|刘海涛|安徽省岳西县冶溪镇金盆村|务工|母女|徐菊云|安徽省岳西县冶溪镇金盆村|务工||||</v>
      </c>
      <c r="AF178" s="2">
        <v>44987.525416666664</v>
      </c>
      <c r="AG178">
        <v>1</v>
      </c>
      <c r="AH178">
        <v>1</v>
      </c>
      <c r="AI178">
        <v>0</v>
      </c>
      <c r="AJ178" t="s">
        <v>219</v>
      </c>
      <c r="AK178" s="4" t="s">
        <v>264</v>
      </c>
      <c r="AL178" s="4" t="s">
        <v>264</v>
      </c>
      <c r="AM178" s="4" t="s">
        <v>264</v>
      </c>
      <c r="AN178">
        <v>0</v>
      </c>
    </row>
    <row r="179" spans="1:40" ht="18" customHeight="1">
      <c r="A179" t="str">
        <f>"141720230301175817340814"</f>
        <v>141720230301175817340814</v>
      </c>
      <c r="B179" t="s">
        <v>44</v>
      </c>
      <c r="C179" t="str">
        <f>"李苏红"</f>
        <v>李苏红</v>
      </c>
      <c r="D179" t="str">
        <f t="shared" si="69"/>
        <v>女</v>
      </c>
      <c r="E179" t="str">
        <f>"1995-02"</f>
        <v>1995-02</v>
      </c>
      <c r="F179" t="str">
        <f>"安徽省桐城市"</f>
        <v>安徽省桐城市</v>
      </c>
      <c r="G179" t="str">
        <f t="shared" si="68"/>
        <v>汉族</v>
      </c>
      <c r="H179" t="str">
        <f>"群众"</f>
        <v>群众</v>
      </c>
      <c r="I179" t="str">
        <f>"340881199502112821"</f>
        <v>340881199502112821</v>
      </c>
      <c r="J179" t="str">
        <f t="shared" si="77"/>
        <v>未婚</v>
      </c>
      <c r="K179" t="str">
        <f>"本科"</f>
        <v>本科</v>
      </c>
      <c r="L179" t="str">
        <f>"学士"</f>
        <v>学士</v>
      </c>
      <c r="M179" t="str">
        <f>"学士"</f>
        <v>学士</v>
      </c>
      <c r="N179" t="str">
        <f>"池州学院"</f>
        <v>池州学院</v>
      </c>
      <c r="O179" t="str">
        <f>"2018-07"</f>
        <v>2018-07</v>
      </c>
      <c r="P179" t="str">
        <f>"本科"</f>
        <v>本科</v>
      </c>
      <c r="Q179" t="str">
        <f>"学士"</f>
        <v>学士</v>
      </c>
      <c r="R179" t="str">
        <f t="shared" si="75"/>
        <v>学前教育</v>
      </c>
      <c r="S179" t="str">
        <f>"池州学院"</f>
        <v>池州学院</v>
      </c>
      <c r="T179" t="str">
        <f>"2018-07"</f>
        <v>2018-07</v>
      </c>
      <c r="U179" t="str">
        <f>"幼儿园教师资格证"</f>
        <v>幼儿园教师资格证</v>
      </c>
      <c r="V179" t="str">
        <f>"2"</f>
        <v>2</v>
      </c>
      <c r="W179" t="str">
        <f t="shared" si="71"/>
        <v>无</v>
      </c>
      <c r="X179" t="str">
        <f t="shared" si="78"/>
        <v>是</v>
      </c>
      <c r="Y179" t="str">
        <f>"长丰县直属机关幼儿园"</f>
        <v>长丰县直属机关幼儿园</v>
      </c>
      <c r="Z179" t="str">
        <f>"18815799087"</f>
        <v>18815799087</v>
      </c>
      <c r="AA179" t="str">
        <f>"安徽省合肥市长丰县第一中学东校区长丰一中"</f>
        <v>安徽省合肥市长丰县第一中学东校区长丰一中</v>
      </c>
      <c r="AB179" s="1" t="str">
        <f>"2011.9-2014.6 桐城二中 学生
2014.9-2018.7 池州学院 学生"</f>
        <v>2011.9-2014.6 桐城二中 学生
2014.9-2018.7 池州学院 学生</v>
      </c>
      <c r="AC179" t="str">
        <f t="shared" si="79"/>
        <v>无</v>
      </c>
      <c r="AD179" t="str">
        <f>"无"</f>
        <v>无</v>
      </c>
      <c r="AE179" t="str">
        <f>"父亲|李双应|农民|务农|母亲|束四清|农民|务农||||"</f>
        <v>父亲|李双应|农民|务农|母亲|束四清|农民|务农||||</v>
      </c>
      <c r="AF179" s="2">
        <v>44987.5603587963</v>
      </c>
      <c r="AG179">
        <v>1</v>
      </c>
      <c r="AH179">
        <v>1</v>
      </c>
      <c r="AI179">
        <v>0</v>
      </c>
      <c r="AJ179" t="s">
        <v>220</v>
      </c>
      <c r="AK179" s="4" t="s">
        <v>264</v>
      </c>
      <c r="AL179" s="4" t="s">
        <v>264</v>
      </c>
      <c r="AM179" s="4" t="s">
        <v>264</v>
      </c>
      <c r="AN179">
        <v>0</v>
      </c>
    </row>
    <row r="180" spans="1:40" ht="18" customHeight="1">
      <c r="A180" t="str">
        <f>"141720230301180246340815"</f>
        <v>141720230301180246340815</v>
      </c>
      <c r="B180" t="s">
        <v>44</v>
      </c>
      <c r="C180" t="str">
        <f>"张猛"</f>
        <v>张猛</v>
      </c>
      <c r="D180" t="str">
        <f>"男"</f>
        <v>男</v>
      </c>
      <c r="E180" t="str">
        <f>"2003—03"</f>
        <v>2003—03</v>
      </c>
      <c r="F180" t="str">
        <f>"安徽省阜阳市阜南县"</f>
        <v>安徽省阜阳市阜南县</v>
      </c>
      <c r="G180" t="str">
        <f t="shared" si="68"/>
        <v>汉族</v>
      </c>
      <c r="H180" t="str">
        <f>"群众"</f>
        <v>群众</v>
      </c>
      <c r="I180" t="str">
        <f>"341225200303080137"</f>
        <v>341225200303080137</v>
      </c>
      <c r="J180" t="str">
        <f t="shared" si="77"/>
        <v>未婚</v>
      </c>
      <c r="K180" t="str">
        <f>"大专"</f>
        <v>大专</v>
      </c>
      <c r="L180" t="str">
        <f>"无"</f>
        <v>无</v>
      </c>
      <c r="M180" t="str">
        <f>"学前教育"</f>
        <v>学前教育</v>
      </c>
      <c r="N180" t="str">
        <f>"阜阳幼儿师范高等专科学校"</f>
        <v>阜阳幼儿师范高等专科学校</v>
      </c>
      <c r="O180" t="str">
        <f>"2023年7月"</f>
        <v>2023年7月</v>
      </c>
      <c r="P180" t="str">
        <f>"大专"</f>
        <v>大专</v>
      </c>
      <c r="Q180" t="str">
        <f>"无"</f>
        <v>无</v>
      </c>
      <c r="R180" t="str">
        <f t="shared" si="75"/>
        <v>学前教育</v>
      </c>
      <c r="S180" t="str">
        <f>"阜阳幼儿师范高等专科学校"</f>
        <v>阜阳幼儿师范高等专科学校</v>
      </c>
      <c r="T180" t="str">
        <f>"2023年7月"</f>
        <v>2023年7月</v>
      </c>
      <c r="U180" t="str">
        <f>"幼儿教师资格证  普通话二甲  计算机一级证"</f>
        <v>幼儿教师资格证  普通话二甲  计算机一级证</v>
      </c>
      <c r="V180" t="str">
        <f>"1年"</f>
        <v>1年</v>
      </c>
      <c r="W180" t="str">
        <f t="shared" si="71"/>
        <v>无</v>
      </c>
      <c r="X180" t="str">
        <f t="shared" si="78"/>
        <v>是</v>
      </c>
      <c r="Y180" t="str">
        <f>"信地华地城幼儿园"</f>
        <v>信地华地城幼儿园</v>
      </c>
      <c r="Z180" t="str">
        <f>"18712619083"</f>
        <v>18712619083</v>
      </c>
      <c r="AA180" t="str">
        <f>"禹洲天玺"</f>
        <v>禹洲天玺</v>
      </c>
      <c r="AB180" s="1" t="str">
        <f>"2018.9- 2021.7肥西师范学校；2021.9-2023.7阜阳幼儿师范高等专科学校；2022年8月至今信地华地城幼儿园教师支教实习。
"</f>
        <v>2018.9- 2021.7肥西师范学校；2021.9-2023.7阜阳幼儿师范高等专科学校；2022年8月至今信地华地城幼儿园教师支教实习。
</v>
      </c>
      <c r="AC180" t="str">
        <f t="shared" si="79"/>
        <v>无</v>
      </c>
      <c r="AD180" t="str">
        <f>"唱歌，配音，乒乓球，羽毛球"</f>
        <v>唱歌，配音，乒乓球，羽毛球</v>
      </c>
      <c r="AE180" t="str">
        <f>"父亲|张全峰|无|包工||||||||"</f>
        <v>父亲|张全峰|无|包工||||||||</v>
      </c>
      <c r="AF180" s="2">
        <v>44987.56002314815</v>
      </c>
      <c r="AG180">
        <v>1</v>
      </c>
      <c r="AH180">
        <v>1</v>
      </c>
      <c r="AI180">
        <v>0</v>
      </c>
      <c r="AJ180" t="s">
        <v>221</v>
      </c>
      <c r="AK180" s="4">
        <v>63.2</v>
      </c>
      <c r="AL180" s="4">
        <v>60.1</v>
      </c>
      <c r="AM180" s="4">
        <v>61.650000000000006</v>
      </c>
      <c r="AN180">
        <v>0</v>
      </c>
    </row>
    <row r="181" spans="1:40" ht="18" customHeight="1">
      <c r="A181" t="str">
        <f>"141720230301182757340819"</f>
        <v>141720230301182757340819</v>
      </c>
      <c r="B181" t="s">
        <v>44</v>
      </c>
      <c r="C181" t="str">
        <f>"何苗"</f>
        <v>何苗</v>
      </c>
      <c r="D181" t="str">
        <f aca="true" t="shared" si="80" ref="D181:D206">"女"</f>
        <v>女</v>
      </c>
      <c r="E181" t="str">
        <f>"1997.10"</f>
        <v>1997.10</v>
      </c>
      <c r="F181" t="str">
        <f>"安徽省长丰县"</f>
        <v>安徽省长丰县</v>
      </c>
      <c r="G181" t="str">
        <f aca="true" t="shared" si="81" ref="G181:G212">"汉族"</f>
        <v>汉族</v>
      </c>
      <c r="H181" t="str">
        <f>"共青团员"</f>
        <v>共青团员</v>
      </c>
      <c r="I181" t="str">
        <f>"340121199710185203"</f>
        <v>340121199710185203</v>
      </c>
      <c r="J181" t="str">
        <f t="shared" si="77"/>
        <v>未婚</v>
      </c>
      <c r="K181" t="str">
        <f>"本科"</f>
        <v>本科</v>
      </c>
      <c r="L181" t="str">
        <f>"学士"</f>
        <v>学士</v>
      </c>
      <c r="M181" t="str">
        <f>"学前教育"</f>
        <v>学前教育</v>
      </c>
      <c r="N181" t="str">
        <f>"滁州学院"</f>
        <v>滁州学院</v>
      </c>
      <c r="O181" t="str">
        <f>"2022年7月"</f>
        <v>2022年7月</v>
      </c>
      <c r="P181" t="str">
        <f>"本科"</f>
        <v>本科</v>
      </c>
      <c r="Q181" t="str">
        <f>"学士"</f>
        <v>学士</v>
      </c>
      <c r="R181" t="str">
        <f t="shared" si="75"/>
        <v>学前教育</v>
      </c>
      <c r="S181" t="str">
        <f>"滁州学院"</f>
        <v>滁州学院</v>
      </c>
      <c r="T181" t="str">
        <f>"2022年7月"</f>
        <v>2022年7月</v>
      </c>
      <c r="U181" t="str">
        <f>"无（有合格证，暂未认定）"</f>
        <v>无（有合格证，暂未认定）</v>
      </c>
      <c r="V181" t="str">
        <f>"半年"</f>
        <v>半年</v>
      </c>
      <c r="W181" t="str">
        <f t="shared" si="71"/>
        <v>无</v>
      </c>
      <c r="X181" t="str">
        <f t="shared" si="78"/>
        <v>是</v>
      </c>
      <c r="Y181" t="str">
        <f>"青苗荟和徽苑"</f>
        <v>青苗荟和徽苑</v>
      </c>
      <c r="Z181" t="str">
        <f>"13696543219"</f>
        <v>13696543219</v>
      </c>
      <c r="AA181" t="str">
        <f>"安徽省合肥市长丰县双墩镇兴盛路物华苑4期"</f>
        <v>安徽省合肥市长丰县双墩镇兴盛路物华苑4期</v>
      </c>
      <c r="AB181" s="1" t="str">
        <f>"2014.9-2017.9 合肥北城中学 学生
2017.9-2020.7 安徽财贸职业学院 学生
2020.9-2022.7 滁州学院 学生
2022.3-2022.7 长丰县北环小学 教师
2023.3 青苗荟和徽苑 教师"</f>
        <v>2014.9-2017.9 合肥北城中学 学生
2017.9-2020.7 安徽财贸职业学院 学生
2020.9-2022.7 滁州学院 学生
2022.3-2022.7 长丰县北环小学 教师
2023.3 青苗荟和徽苑 教师</v>
      </c>
      <c r="AC181" t="str">
        <f t="shared" si="79"/>
        <v>无</v>
      </c>
      <c r="AD181" t="str">
        <f>"绘画 声乐"</f>
        <v>绘画 声乐</v>
      </c>
      <c r="AE181" t="str">
        <f>"本人|何苗|青苗荟和徽苑|教师|父亲|何卫东|岗集中学|教师|母亲|郑永青|曼斯顿尚品酒店|员工"</f>
        <v>本人|何苗|青苗荟和徽苑|教师|父亲|何卫东|岗集中学|教师|母亲|郑永青|曼斯顿尚品酒店|员工</v>
      </c>
      <c r="AF181" s="2">
        <v>44987.57776620371</v>
      </c>
      <c r="AG181">
        <v>1</v>
      </c>
      <c r="AH181">
        <v>1</v>
      </c>
      <c r="AI181">
        <v>0</v>
      </c>
      <c r="AJ181" t="s">
        <v>222</v>
      </c>
      <c r="AK181" s="4">
        <v>72.5</v>
      </c>
      <c r="AL181" s="4">
        <v>70.3</v>
      </c>
      <c r="AM181" s="4">
        <v>71.4</v>
      </c>
      <c r="AN181">
        <v>0</v>
      </c>
    </row>
    <row r="182" spans="1:40" ht="18" customHeight="1">
      <c r="A182" t="str">
        <f>"141720230301182825340820"</f>
        <v>141720230301182825340820</v>
      </c>
      <c r="B182" t="s">
        <v>44</v>
      </c>
      <c r="C182" t="str">
        <f>"李芳铭"</f>
        <v>李芳铭</v>
      </c>
      <c r="D182" t="str">
        <f t="shared" si="80"/>
        <v>女</v>
      </c>
      <c r="E182" t="str">
        <f>"1999-9"</f>
        <v>1999-9</v>
      </c>
      <c r="F182" t="str">
        <f>"安徽省合肥市庐江县"</f>
        <v>安徽省合肥市庐江县</v>
      </c>
      <c r="G182" t="str">
        <f t="shared" si="81"/>
        <v>汉族</v>
      </c>
      <c r="H182" t="str">
        <f>"共青团员"</f>
        <v>共青团员</v>
      </c>
      <c r="I182" t="str">
        <f>"342622199909137124"</f>
        <v>342622199909137124</v>
      </c>
      <c r="J182" t="str">
        <f t="shared" si="77"/>
        <v>未婚</v>
      </c>
      <c r="K182" t="str">
        <f>"本科"</f>
        <v>本科</v>
      </c>
      <c r="L182" t="str">
        <f>"学士学位"</f>
        <v>学士学位</v>
      </c>
      <c r="M182" t="str">
        <f>"学前教育"</f>
        <v>学前教育</v>
      </c>
      <c r="N182" t="str">
        <f>"亳州学院"</f>
        <v>亳州学院</v>
      </c>
      <c r="O182" t="str">
        <f>"2023-6"</f>
        <v>2023-6</v>
      </c>
      <c r="P182" t="str">
        <f>"本科"</f>
        <v>本科</v>
      </c>
      <c r="Q182" t="str">
        <f>"学士学位"</f>
        <v>学士学位</v>
      </c>
      <c r="R182" t="str">
        <f t="shared" si="75"/>
        <v>学前教育</v>
      </c>
      <c r="S182" t="str">
        <f>"亳州学院"</f>
        <v>亳州学院</v>
      </c>
      <c r="T182" t="str">
        <f>"2023-6"</f>
        <v>2023-6</v>
      </c>
      <c r="U182" t="str">
        <f>"幼儿教资已合格但未认定"</f>
        <v>幼儿教资已合格但未认定</v>
      </c>
      <c r="V182" t="str">
        <f>"无"</f>
        <v>无</v>
      </c>
      <c r="W182" t="str">
        <f t="shared" si="71"/>
        <v>无</v>
      </c>
      <c r="X182" t="str">
        <f t="shared" si="78"/>
        <v>是</v>
      </c>
      <c r="Y182" t="str">
        <f>"在校生"</f>
        <v>在校生</v>
      </c>
      <c r="Z182" t="str">
        <f>"15205652461"</f>
        <v>15205652461</v>
      </c>
      <c r="AA182" t="str">
        <f>"合肥市庐阳区"</f>
        <v>合肥市庐阳区</v>
      </c>
      <c r="AB182" s="1" t="str">
        <f>"2016-2019泥河高中
2019-2023亳州学院"</f>
        <v>2016-2019泥河高中
2019-2023亳州学院</v>
      </c>
      <c r="AC182" t="str">
        <f t="shared" si="79"/>
        <v>无</v>
      </c>
      <c r="AD182" t="str">
        <f>"钢琴、绘画、幼儿体操"</f>
        <v>钢琴、绘画、幼儿体操</v>
      </c>
      <c r="AE182" t="str">
        <f>"父女|李旭东|国家电网|普工|母女|祖银芝|自由职业||姐妹|李芳馨|合肥市黄山大厦|店长"</f>
        <v>父女|李旭东|国家电网|普工|母女|祖银芝|自由职业||姐妹|李芳馨|合肥市黄山大厦|店长</v>
      </c>
      <c r="AF182" s="2">
        <v>44987.54929398148</v>
      </c>
      <c r="AG182">
        <v>1</v>
      </c>
      <c r="AH182">
        <v>1</v>
      </c>
      <c r="AI182">
        <v>0</v>
      </c>
      <c r="AJ182" t="s">
        <v>223</v>
      </c>
      <c r="AK182" s="4">
        <v>77.4</v>
      </c>
      <c r="AL182" s="4">
        <v>72.5</v>
      </c>
      <c r="AM182" s="4">
        <v>74.95</v>
      </c>
      <c r="AN182">
        <v>0</v>
      </c>
    </row>
    <row r="183" spans="1:40" ht="18" customHeight="1">
      <c r="A183" t="str">
        <f>"141720230301183915340822"</f>
        <v>141720230301183915340822</v>
      </c>
      <c r="B183" t="s">
        <v>44</v>
      </c>
      <c r="C183" t="str">
        <f>"袁欢欢"</f>
        <v>袁欢欢</v>
      </c>
      <c r="D183" t="str">
        <f t="shared" si="80"/>
        <v>女</v>
      </c>
      <c r="E183" t="str">
        <f>"1999-08"</f>
        <v>1999-08</v>
      </c>
      <c r="F183" t="str">
        <f>"安徽省巢湖市"</f>
        <v>安徽省巢湖市</v>
      </c>
      <c r="G183" t="str">
        <f t="shared" si="81"/>
        <v>汉族</v>
      </c>
      <c r="H183" t="str">
        <f>"共青团员"</f>
        <v>共青团员</v>
      </c>
      <c r="I183" t="str">
        <f>"342601199908152427"</f>
        <v>342601199908152427</v>
      </c>
      <c r="J183" t="str">
        <f t="shared" si="77"/>
        <v>未婚</v>
      </c>
      <c r="K183" t="str">
        <f>"大专"</f>
        <v>大专</v>
      </c>
      <c r="L183" t="str">
        <f>"无"</f>
        <v>无</v>
      </c>
      <c r="M183" t="str">
        <f>"学前教育"</f>
        <v>学前教育</v>
      </c>
      <c r="N183" t="str">
        <f>"徐州幼儿师范高等专科学校"</f>
        <v>徐州幼儿师范高等专科学校</v>
      </c>
      <c r="O183" t="str">
        <f>"2020.6"</f>
        <v>2020.6</v>
      </c>
      <c r="P183" t="str">
        <f>"大专"</f>
        <v>大专</v>
      </c>
      <c r="Q183" t="str">
        <f>"无"</f>
        <v>无</v>
      </c>
      <c r="R183" t="str">
        <f t="shared" si="75"/>
        <v>学前教育</v>
      </c>
      <c r="S183" t="str">
        <f>"徐州幼儿师范高等专科学校"</f>
        <v>徐州幼儿师范高等专科学校</v>
      </c>
      <c r="T183" t="str">
        <f>"2020.06"</f>
        <v>2020.06</v>
      </c>
      <c r="U183" t="str">
        <f>"幼儿园教师资格证，普通话二甲，书法硬笔六级证书，中国舞1-3级教师资格证书"</f>
        <v>幼儿园教师资格证，普通话二甲，书法硬笔六级证书，中国舞1-3级教师资格证书</v>
      </c>
      <c r="V183" t="str">
        <f>"一年半"</f>
        <v>一年半</v>
      </c>
      <c r="W183" t="str">
        <f t="shared" si="71"/>
        <v>无</v>
      </c>
      <c r="X183" t="str">
        <f t="shared" si="78"/>
        <v>是</v>
      </c>
      <c r="Y183" t="str">
        <f>"合肥好生涯文化传媒有限公司"</f>
        <v>合肥好生涯文化传媒有限公司</v>
      </c>
      <c r="Z183" t="str">
        <f>"18151830857"</f>
        <v>18151830857</v>
      </c>
      <c r="AA183" t="str">
        <f>"安徽省合肥市包河区金地国际城3号公寓912"</f>
        <v>安徽省合肥市包河区金地国际城3号公寓912</v>
      </c>
      <c r="AB183" s="1" t="str">
        <f>"2014.9-2017.6 江苏省大港中学学生；2017.9-2020.6徐州幼儿师范高等专科学校学生；2020.3-2020.8巢湖市网城花园幼儿园 员工；2020.8-2022.6合肥市墨星文化有限公司 员工；2022.7-至今合肥好生涯文化传媒有限公司 员工
"</f>
        <v>2014.9-2017.6 江苏省大港中学学生；2017.9-2020.6徐州幼儿师范高等专科学校学生；2020.3-2020.8巢湖市网城花园幼儿园 员工；2020.8-2022.6合肥市墨星文化有限公司 员工；2022.7-至今合肥好生涯文化传媒有限公司 员工
</v>
      </c>
      <c r="AC183" t="str">
        <f t="shared" si="79"/>
        <v>无</v>
      </c>
      <c r="AD183" t="str">
        <f>"无"</f>
        <v>无</v>
      </c>
      <c r="AE183" t="str">
        <f>"父亲|袁永林|个体户|无|母亲|孙宏凤|个体户|无||||"</f>
        <v>父亲|袁永林|个体户|无|母亲|孙宏凤|个体户|无||||</v>
      </c>
      <c r="AF183" s="2">
        <v>44987.42732638889</v>
      </c>
      <c r="AG183">
        <v>1</v>
      </c>
      <c r="AH183">
        <v>1</v>
      </c>
      <c r="AI183">
        <v>0</v>
      </c>
      <c r="AJ183" t="s">
        <v>224</v>
      </c>
      <c r="AK183" s="4">
        <v>75.4</v>
      </c>
      <c r="AL183" s="4">
        <v>66.5</v>
      </c>
      <c r="AM183" s="4">
        <v>70.95</v>
      </c>
      <c r="AN183">
        <v>0</v>
      </c>
    </row>
    <row r="184" spans="1:40" ht="18" customHeight="1">
      <c r="A184" t="str">
        <f>"141720230301185323340824"</f>
        <v>141720230301185323340824</v>
      </c>
      <c r="B184" t="s">
        <v>44</v>
      </c>
      <c r="C184" t="str">
        <f>"巫桂霞"</f>
        <v>巫桂霞</v>
      </c>
      <c r="D184" t="str">
        <f t="shared" si="80"/>
        <v>女</v>
      </c>
      <c r="E184" t="str">
        <f>"1994.09.03"</f>
        <v>1994.09.03</v>
      </c>
      <c r="F184" t="str">
        <f>"合肥"</f>
        <v>合肥</v>
      </c>
      <c r="G184" t="str">
        <f t="shared" si="81"/>
        <v>汉族</v>
      </c>
      <c r="H184" t="str">
        <f>"预备党员"</f>
        <v>预备党员</v>
      </c>
      <c r="I184" t="str">
        <f>"340123199309033126"</f>
        <v>340123199309033126</v>
      </c>
      <c r="J184" t="str">
        <f>"已婚"</f>
        <v>已婚</v>
      </c>
      <c r="K184" t="str">
        <f>"本科"</f>
        <v>本科</v>
      </c>
      <c r="L184" t="str">
        <f>"无"</f>
        <v>无</v>
      </c>
      <c r="M184" t="str">
        <f>"市场营销"</f>
        <v>市场营销</v>
      </c>
      <c r="N184" t="str">
        <f>"国家开放大学"</f>
        <v>国家开放大学</v>
      </c>
      <c r="O184" t="str">
        <f>"2018.01.31"</f>
        <v>2018.01.31</v>
      </c>
      <c r="P184" t="str">
        <f>"专科"</f>
        <v>专科</v>
      </c>
      <c r="Q184" t="str">
        <f>"无"</f>
        <v>无</v>
      </c>
      <c r="R184" t="str">
        <f t="shared" si="75"/>
        <v>学前教育</v>
      </c>
      <c r="S184" t="str">
        <f>"淮北师范大学"</f>
        <v>淮北师范大学</v>
      </c>
      <c r="T184" t="str">
        <f>"2014.07.01"</f>
        <v>2014.07.01</v>
      </c>
      <c r="U184" t="str">
        <f>"园长资格证书、幼儿园教师资格证、普通话2甲证书、育婴师证书"</f>
        <v>园长资格证书、幼儿园教师资格证、普通话2甲证书、育婴师证书</v>
      </c>
      <c r="V184" t="str">
        <f>"10年"</f>
        <v>10年</v>
      </c>
      <c r="W184" t="str">
        <f>"园长任职资格证、幼儿园教师资格证、普通话等级证书2甲、育婴师中级"</f>
        <v>园长任职资格证、幼儿园教师资格证、普通话等级证书2甲、育婴师中级</v>
      </c>
      <c r="X184" t="str">
        <f t="shared" si="78"/>
        <v>是</v>
      </c>
      <c r="Y184" t="str">
        <f>"合肥瑶海和平盛世幼儿园"</f>
        <v>合肥瑶海和平盛世幼儿园</v>
      </c>
      <c r="Z184" t="str">
        <f>"17705511011"</f>
        <v>17705511011</v>
      </c>
      <c r="AA184" t="str">
        <f>"合肥市瑶海区明皇路文一云河湾小区"</f>
        <v>合肥市瑶海区明皇路文一云河湾小区</v>
      </c>
      <c r="AB184" s="1" t="str">
        <f>"2011.9.1-2014.7.1 安徽兴鹏科技学校 学生 中专 全日制
2011.9.1-2014.7.1  淮北师范大学 学生 大专 函授
2015.7.1-2018.7.1 国家开放大学 学生 本科 电大
2013-2023-至合肥瑶海和平盛世幼儿园 员工"</f>
        <v>2011.9.1-2014.7.1 安徽兴鹏科技学校 学生 中专 全日制
2011.9.1-2014.7.1  淮北师范大学 学生 大专 函授
2015.7.1-2018.7.1 国家开放大学 学生 本科 电大
2013-2023-至合肥瑶海和平盛世幼儿园 员工</v>
      </c>
      <c r="AC184" t="str">
        <f>"优秀教师 优秀班级 集团优秀教师 师德师风一等奖 读书分享会 一等奖"</f>
        <v>优秀教师 优秀班级 集团优秀教师 师德师风一等奖 读书分享会 一等奖</v>
      </c>
      <c r="AD184" s="1" t="str">
        <f>"特长：计算机编程
爱好：舞蹈，视频剪辑"</f>
        <v>特长：计算机编程
爱好：舞蹈，视频剪辑</v>
      </c>
      <c r="AE184" t="str">
        <f>"父亲|巫建友|务农|务农||||||||"</f>
        <v>父亲|巫建友|务农|务农||||||||</v>
      </c>
      <c r="AF184" s="2">
        <v>44987.55085648148</v>
      </c>
      <c r="AG184">
        <v>1</v>
      </c>
      <c r="AH184">
        <v>1</v>
      </c>
      <c r="AI184">
        <v>0</v>
      </c>
      <c r="AJ184" t="s">
        <v>225</v>
      </c>
      <c r="AK184" s="4" t="s">
        <v>264</v>
      </c>
      <c r="AL184" s="4" t="s">
        <v>264</v>
      </c>
      <c r="AM184" s="4" t="s">
        <v>264</v>
      </c>
      <c r="AN184">
        <v>0</v>
      </c>
    </row>
    <row r="185" spans="1:40" ht="18" customHeight="1">
      <c r="A185" t="str">
        <f>"141720230301185347340825"</f>
        <v>141720230301185347340825</v>
      </c>
      <c r="B185" t="s">
        <v>44</v>
      </c>
      <c r="C185" t="str">
        <f>"崔嘉琪"</f>
        <v>崔嘉琪</v>
      </c>
      <c r="D185" t="str">
        <f t="shared" si="80"/>
        <v>女</v>
      </c>
      <c r="E185" t="str">
        <f>"2001-04"</f>
        <v>2001-04</v>
      </c>
      <c r="F185" t="str">
        <f>"徽砀山县"</f>
        <v>徽砀山县</v>
      </c>
      <c r="G185" t="str">
        <f t="shared" si="81"/>
        <v>汉族</v>
      </c>
      <c r="H185" t="str">
        <f>"中共党员"</f>
        <v>中共党员</v>
      </c>
      <c r="I185" t="str">
        <f>"341321200104165525"</f>
        <v>341321200104165525</v>
      </c>
      <c r="J185" t="str">
        <f aca="true" t="shared" si="82" ref="J185:J192">"未婚"</f>
        <v>未婚</v>
      </c>
      <c r="K185" t="str">
        <f>"本科"</f>
        <v>本科</v>
      </c>
      <c r="L185" t="str">
        <f>"本科"</f>
        <v>本科</v>
      </c>
      <c r="M185" t="str">
        <f>"学前教育"</f>
        <v>学前教育</v>
      </c>
      <c r="N185" t="str">
        <f>"池州学院"</f>
        <v>池州学院</v>
      </c>
      <c r="O185" t="str">
        <f>"2023.7"</f>
        <v>2023.7</v>
      </c>
      <c r="P185" t="str">
        <f>"本科"</f>
        <v>本科</v>
      </c>
      <c r="Q185" t="str">
        <f>"本科"</f>
        <v>本科</v>
      </c>
      <c r="R185" t="str">
        <f t="shared" si="75"/>
        <v>学前教育</v>
      </c>
      <c r="S185" t="str">
        <f>"池州学院"</f>
        <v>池州学院</v>
      </c>
      <c r="T185" t="str">
        <f>"2023.7"</f>
        <v>2023.7</v>
      </c>
      <c r="U185" t="str">
        <f>"有"</f>
        <v>有</v>
      </c>
      <c r="V185" t="str">
        <f>"应届生，无工作经验"</f>
        <v>应届生，无工作经验</v>
      </c>
      <c r="W185" t="str">
        <f aca="true" t="shared" si="83" ref="W185:W191">"无"</f>
        <v>无</v>
      </c>
      <c r="X185" t="str">
        <f t="shared" si="78"/>
        <v>是</v>
      </c>
      <c r="Y185" t="str">
        <f>"无"</f>
        <v>无</v>
      </c>
      <c r="Z185" t="str">
        <f>"17356685790"</f>
        <v>17356685790</v>
      </c>
      <c r="AA185" t="str">
        <f>"安徽省宿州市砀山县砀城镇中原社区花园村"</f>
        <v>安徽省宿州市砀山县砀城镇中原社区花园村</v>
      </c>
      <c r="AB185" s="1" t="str">
        <f>"2016.9-2019.6铁路中学 学生
2019.9-2023.7池州学院 学生"</f>
        <v>2016.9-2019.6铁路中学 学生
2019.9-2023.7池州学院 学生</v>
      </c>
      <c r="AC185" t="str">
        <f>"无"</f>
        <v>无</v>
      </c>
      <c r="AD185" t="str">
        <f>"唱歌、画画"</f>
        <v>唱歌、画画</v>
      </c>
      <c r="AE185" t="str">
        <f>"父女|崔海|个体|个体|母女|许玉花|个体|个体||||"</f>
        <v>父女|崔海|个体|个体|母女|许玉花|个体|个体||||</v>
      </c>
      <c r="AF185" s="2">
        <v>44987.59033564815</v>
      </c>
      <c r="AG185">
        <v>1</v>
      </c>
      <c r="AH185">
        <v>1</v>
      </c>
      <c r="AI185">
        <v>0</v>
      </c>
      <c r="AJ185" t="s">
        <v>226</v>
      </c>
      <c r="AK185" s="4" t="s">
        <v>264</v>
      </c>
      <c r="AL185" s="4" t="s">
        <v>264</v>
      </c>
      <c r="AM185" s="4" t="s">
        <v>264</v>
      </c>
      <c r="AN185">
        <v>0</v>
      </c>
    </row>
    <row r="186" spans="1:40" ht="18" customHeight="1">
      <c r="A186" t="str">
        <f>"141720230301185800340827"</f>
        <v>141720230301185800340827</v>
      </c>
      <c r="B186" t="s">
        <v>44</v>
      </c>
      <c r="C186" t="str">
        <f>"陈云侠"</f>
        <v>陈云侠</v>
      </c>
      <c r="D186" t="str">
        <f t="shared" si="80"/>
        <v>女</v>
      </c>
      <c r="E186" t="str">
        <f>"1997-5"</f>
        <v>1997-5</v>
      </c>
      <c r="F186" t="str">
        <f>"安徽霍邱"</f>
        <v>安徽霍邱</v>
      </c>
      <c r="G186" t="str">
        <f t="shared" si="81"/>
        <v>汉族</v>
      </c>
      <c r="H186" t="str">
        <f>"群众"</f>
        <v>群众</v>
      </c>
      <c r="I186" t="str">
        <f>"342423199705186165"</f>
        <v>342423199705186165</v>
      </c>
      <c r="J186" t="str">
        <f t="shared" si="82"/>
        <v>未婚</v>
      </c>
      <c r="K186" t="str">
        <f>"大专"</f>
        <v>大专</v>
      </c>
      <c r="L186" t="str">
        <f>"无"</f>
        <v>无</v>
      </c>
      <c r="M186" t="str">
        <f>"学前教育"</f>
        <v>学前教育</v>
      </c>
      <c r="N186" t="str">
        <f>"上海行健职业学院"</f>
        <v>上海行健职业学院</v>
      </c>
      <c r="O186" t="str">
        <f>"2020年6月"</f>
        <v>2020年6月</v>
      </c>
      <c r="P186" t="str">
        <f>"大专"</f>
        <v>大专</v>
      </c>
      <c r="Q186" t="str">
        <f>"大专"</f>
        <v>大专</v>
      </c>
      <c r="R186" t="str">
        <f t="shared" si="75"/>
        <v>学前教育</v>
      </c>
      <c r="S186" t="str">
        <f>"上海行健职业学院"</f>
        <v>上海行健职业学院</v>
      </c>
      <c r="T186" t="str">
        <f>"2020年6月"</f>
        <v>2020年6月</v>
      </c>
      <c r="U186" t="str">
        <f>"幼儿教师资格证，高级育婴师证"</f>
        <v>幼儿教师资格证，高级育婴师证</v>
      </c>
      <c r="V186" t="str">
        <f>"3年"</f>
        <v>3年</v>
      </c>
      <c r="W186" t="str">
        <f t="shared" si="83"/>
        <v>无</v>
      </c>
      <c r="X186" t="str">
        <f t="shared" si="78"/>
        <v>是</v>
      </c>
      <c r="Y186" t="str">
        <f>"合肥市包河区红缨晥都徽韵幼儿园"</f>
        <v>合肥市包河区红缨晥都徽韵幼儿园</v>
      </c>
      <c r="Z186" t="str">
        <f>"18616738964"</f>
        <v>18616738964</v>
      </c>
      <c r="AA186" t="str">
        <f>"包河区晥都徽韵小区"</f>
        <v>包河区晥都徽韵小区</v>
      </c>
      <c r="AB186" s="1" t="str">
        <f>"2014.9-2017.6 安徽省颍上县第二中学 学生
2017.9-2020.6 上海行健职业学院  学生
2020.8-2021.6 南通奇智宝贝朝阳幼儿园 员工
2021.8-至今 合肥市包河区红缨晥都徽韵幼儿园 员工"</f>
        <v>2014.9-2017.6 安徽省颍上县第二中学 学生
2017.9-2020.6 上海行健职业学院  学生
2020.8-2021.6 南通奇智宝贝朝阳幼儿园 员工
2021.8-至今 合肥市包河区红缨晥都徽韵幼儿园 员工</v>
      </c>
      <c r="AC186" t="str">
        <f>"无"</f>
        <v>无</v>
      </c>
      <c r="AD186" s="1" t="str">
        <f>"擅长画画、舞蹈
喜欢探索生活中的奥秘"</f>
        <v>擅长画画、舞蹈
喜欢探索生活中的奥秘</v>
      </c>
      <c r="AE186" t="str">
        <f>"父亲|陈宗礼|无工作|||||||||"</f>
        <v>父亲|陈宗礼|无工作|||||||||</v>
      </c>
      <c r="AF186" s="2">
        <v>44987.55228009259</v>
      </c>
      <c r="AG186">
        <v>1</v>
      </c>
      <c r="AH186">
        <v>1</v>
      </c>
      <c r="AI186">
        <v>0</v>
      </c>
      <c r="AJ186" t="s">
        <v>227</v>
      </c>
      <c r="AK186" s="4">
        <v>71.1</v>
      </c>
      <c r="AL186" s="4">
        <v>59.1</v>
      </c>
      <c r="AM186" s="4">
        <v>65.1</v>
      </c>
      <c r="AN186">
        <v>0</v>
      </c>
    </row>
    <row r="187" spans="1:40" ht="18" customHeight="1">
      <c r="A187" t="str">
        <f>"141720230301190809340828"</f>
        <v>141720230301190809340828</v>
      </c>
      <c r="B187" t="s">
        <v>44</v>
      </c>
      <c r="C187" t="str">
        <f>"胡文季"</f>
        <v>胡文季</v>
      </c>
      <c r="D187" t="str">
        <f t="shared" si="80"/>
        <v>女</v>
      </c>
      <c r="E187" t="str">
        <f>"1995-11"</f>
        <v>1995-11</v>
      </c>
      <c r="F187" t="str">
        <f>"安徽省六安市"</f>
        <v>安徽省六安市</v>
      </c>
      <c r="G187" t="str">
        <f t="shared" si="81"/>
        <v>汉族</v>
      </c>
      <c r="H187" t="str">
        <f>"群众"</f>
        <v>群众</v>
      </c>
      <c r="I187" t="str">
        <f>"342401199511158862"</f>
        <v>342401199511158862</v>
      </c>
      <c r="J187" t="str">
        <f t="shared" si="82"/>
        <v>未婚</v>
      </c>
      <c r="K187" t="str">
        <f>"本科（函授）"</f>
        <v>本科（函授）</v>
      </c>
      <c r="L187" t="str">
        <f>"无"</f>
        <v>无</v>
      </c>
      <c r="M187" t="str">
        <f>"小学教育"</f>
        <v>小学教育</v>
      </c>
      <c r="N187" t="str">
        <f>"安徽师范大学"</f>
        <v>安徽师范大学</v>
      </c>
      <c r="O187" t="str">
        <f>"2021-07-01"</f>
        <v>2021-07-01</v>
      </c>
      <c r="P187" t="str">
        <f>"专科"</f>
        <v>专科</v>
      </c>
      <c r="Q187" t="str">
        <f>"无"</f>
        <v>无</v>
      </c>
      <c r="R187" t="str">
        <f t="shared" si="75"/>
        <v>学前教育</v>
      </c>
      <c r="S187" t="str">
        <f>"滁州城市职业学院"</f>
        <v>滁州城市职业学院</v>
      </c>
      <c r="T187" t="str">
        <f>"2017-07-01"</f>
        <v>2017-07-01</v>
      </c>
      <c r="U187" t="str">
        <f>"20173490212000020"</f>
        <v>20173490212000020</v>
      </c>
      <c r="V187" t="str">
        <f>"6年半"</f>
        <v>6年半</v>
      </c>
      <c r="W187" t="str">
        <f t="shared" si="83"/>
        <v>无</v>
      </c>
      <c r="X187" t="str">
        <f t="shared" si="78"/>
        <v>是</v>
      </c>
      <c r="Y187" t="str">
        <f>"合肥红星幼教巴黎春天幼儿园"</f>
        <v>合肥红星幼教巴黎春天幼儿园</v>
      </c>
      <c r="Z187" t="str">
        <f>"18110619655"</f>
        <v>18110619655</v>
      </c>
      <c r="AA187" t="str">
        <f>"合肥市巴黎春天"</f>
        <v>合肥市巴黎春天</v>
      </c>
      <c r="AB187" t="str">
        <f>"2011.9-2014.6六安中学 学生；2014.9-2017.7滁州城市职业学院 学生；2019.3-2021.7安徽师范大学 学生；2017.7-至今合肥红星幼教巴黎春天幼儿园 员工"</f>
        <v>2011.9-2014.6六安中学 学生；2014.9-2017.7滁州城市职业学院 学生；2019.3-2021.7安徽师范大学 学生；2017.7-至今合肥红星幼教巴黎春天幼儿园 员工</v>
      </c>
      <c r="AC187" t="str">
        <f>"无"</f>
        <v>无</v>
      </c>
      <c r="AD187" t="str">
        <f>"爱好：唱歌"</f>
        <v>爱好：唱歌</v>
      </c>
      <c r="AE187" t="str">
        <f>"父女|胡贤山|自由职业|自由职业|母女|张仲俊|自由职业|自由职业|姐弟|胡文乐|自由职业|自由职业"</f>
        <v>父女|胡贤山|自由职业|自由职业|母女|张仲俊|自由职业|自由职业|姐弟|胡文乐|自由职业|自由职业</v>
      </c>
      <c r="AF187" s="2">
        <v>44987.5541087963</v>
      </c>
      <c r="AG187">
        <v>1</v>
      </c>
      <c r="AH187">
        <v>1</v>
      </c>
      <c r="AI187">
        <v>0</v>
      </c>
      <c r="AJ187" t="s">
        <v>228</v>
      </c>
      <c r="AK187" s="4">
        <v>62.8</v>
      </c>
      <c r="AL187" s="4">
        <v>63.9</v>
      </c>
      <c r="AM187" s="4">
        <v>63.349999999999994</v>
      </c>
      <c r="AN187">
        <v>0</v>
      </c>
    </row>
    <row r="188" spans="1:40" ht="18" customHeight="1">
      <c r="A188" t="str">
        <f>"141720230301191813340830"</f>
        <v>141720230301191813340830</v>
      </c>
      <c r="B188" t="s">
        <v>44</v>
      </c>
      <c r="C188" t="str">
        <f>"文卓"</f>
        <v>文卓</v>
      </c>
      <c r="D188" t="str">
        <f t="shared" si="80"/>
        <v>女</v>
      </c>
      <c r="E188" t="str">
        <f>"1999-12"</f>
        <v>1999-12</v>
      </c>
      <c r="F188" t="str">
        <f>"安徽省舒城县"</f>
        <v>安徽省舒城县</v>
      </c>
      <c r="G188" t="str">
        <f t="shared" si="81"/>
        <v>汉族</v>
      </c>
      <c r="H188" t="str">
        <f>"共青团员"</f>
        <v>共青团员</v>
      </c>
      <c r="I188" t="str">
        <f>"342425199912300226"</f>
        <v>342425199912300226</v>
      </c>
      <c r="J188" t="str">
        <f t="shared" si="82"/>
        <v>未婚</v>
      </c>
      <c r="K188" t="str">
        <f>"大专"</f>
        <v>大专</v>
      </c>
      <c r="L188" t="str">
        <f>"无"</f>
        <v>无</v>
      </c>
      <c r="M188" t="str">
        <f aca="true" t="shared" si="84" ref="M188:M195">"学前教育"</f>
        <v>学前教育</v>
      </c>
      <c r="N188" t="str">
        <f>"黑龙江幼儿师范高等专科学校"</f>
        <v>黑龙江幼儿师范高等专科学校</v>
      </c>
      <c r="O188" t="str">
        <f>"2020年6月"</f>
        <v>2020年6月</v>
      </c>
      <c r="P188" t="str">
        <f>"大专"</f>
        <v>大专</v>
      </c>
      <c r="Q188" t="str">
        <f>"无"</f>
        <v>无</v>
      </c>
      <c r="R188" t="str">
        <f t="shared" si="75"/>
        <v>学前教育</v>
      </c>
      <c r="S188" t="str">
        <f>"黑龙江幼儿师范高等专科学校"</f>
        <v>黑龙江幼儿师范高等专科学校</v>
      </c>
      <c r="T188" t="str">
        <f>"2020年6月"</f>
        <v>2020年6月</v>
      </c>
      <c r="U188" t="str">
        <f>"教师资格证，普通话证"</f>
        <v>教师资格证，普通话证</v>
      </c>
      <c r="V188" t="str">
        <f>"三年"</f>
        <v>三年</v>
      </c>
      <c r="W188" t="str">
        <f t="shared" si="83"/>
        <v>无</v>
      </c>
      <c r="X188" t="str">
        <f t="shared" si="78"/>
        <v>是</v>
      </c>
      <c r="Y188" t="str">
        <f>"重庆市科技实验小学附属幼儿园"</f>
        <v>重庆市科技实验小学附属幼儿园</v>
      </c>
      <c r="Z188" t="str">
        <f>"18183033082"</f>
        <v>18183033082</v>
      </c>
      <c r="AA188" t="str">
        <f>"重庆市江北区大石坝街道东原d7区一期"</f>
        <v>重庆市江北区大石坝街道东原d7区一期</v>
      </c>
      <c r="AB188" s="1" t="str">
        <f>"2014.9-2017.6 重庆市茄子溪中学 学生；2017.9-2020.6 黑龙江幼儿师范高等专科学校 学生；2020.9-2022.5 重庆保利和乐林语溪幼儿园 配班；2022.8-至今 科技实验小学附属幼儿园 配班
"</f>
        <v>2014.9-2017.6 重庆市茄子溪中学 学生；2017.9-2020.6 黑龙江幼儿师范高等专科学校 学生；2020.9-2022.5 重庆保利和乐林语溪幼儿园 配班；2022.8-至今 科技实验小学附属幼儿园 配班
</v>
      </c>
      <c r="AC188" t="str">
        <f>"无"</f>
        <v>无</v>
      </c>
      <c r="AD188" t="str">
        <f>"画画，钢琴，舞蹈"</f>
        <v>画画，钢琴，舞蹈</v>
      </c>
      <c r="AE188" t="str">
        <f>"父女|文卫兵|重庆市文化市场综合行政执法总队|二级调研员|母女|何晓娟|重庆市中核华友医院|医生||||"</f>
        <v>父女|文卫兵|重庆市文化市场综合行政执法总队|二级调研员|母女|何晓娟|重庆市中核华友医院|医生||||</v>
      </c>
      <c r="AF188" s="2">
        <v>44987.55295138889</v>
      </c>
      <c r="AG188">
        <v>1</v>
      </c>
      <c r="AH188">
        <v>1</v>
      </c>
      <c r="AI188">
        <v>0</v>
      </c>
      <c r="AJ188" t="s">
        <v>229</v>
      </c>
      <c r="AK188" s="4" t="s">
        <v>264</v>
      </c>
      <c r="AL188" s="4" t="s">
        <v>264</v>
      </c>
      <c r="AM188" s="4" t="s">
        <v>264</v>
      </c>
      <c r="AN188">
        <v>0</v>
      </c>
    </row>
    <row r="189" spans="1:40" ht="18" customHeight="1">
      <c r="A189" t="str">
        <f>"141720230301193005340832"</f>
        <v>141720230301193005340832</v>
      </c>
      <c r="B189" t="s">
        <v>44</v>
      </c>
      <c r="C189" t="str">
        <f>"涂茂吉"</f>
        <v>涂茂吉</v>
      </c>
      <c r="D189" t="str">
        <f t="shared" si="80"/>
        <v>女</v>
      </c>
      <c r="E189" t="str">
        <f>"1998-04"</f>
        <v>1998-04</v>
      </c>
      <c r="F189" t="str">
        <f>"安徽瑶海区"</f>
        <v>安徽瑶海区</v>
      </c>
      <c r="G189" t="str">
        <f t="shared" si="81"/>
        <v>汉族</v>
      </c>
      <c r="H189" t="str">
        <f>"共青团员"</f>
        <v>共青团员</v>
      </c>
      <c r="I189" t="str">
        <f>"342601199804245944"</f>
        <v>342601199804245944</v>
      </c>
      <c r="J189" t="str">
        <f t="shared" si="82"/>
        <v>未婚</v>
      </c>
      <c r="K189" t="str">
        <f>"大专"</f>
        <v>大专</v>
      </c>
      <c r="L189" t="str">
        <f>"大专"</f>
        <v>大专</v>
      </c>
      <c r="M189" t="str">
        <f t="shared" si="84"/>
        <v>学前教育</v>
      </c>
      <c r="N189" t="str">
        <f>"合肥师范学院"</f>
        <v>合肥师范学院</v>
      </c>
      <c r="O189" t="str">
        <f>"2018-7"</f>
        <v>2018-7</v>
      </c>
      <c r="P189" t="str">
        <f>"大专"</f>
        <v>大专</v>
      </c>
      <c r="Q189" t="str">
        <f>"大专"</f>
        <v>大专</v>
      </c>
      <c r="R189" t="str">
        <f t="shared" si="75"/>
        <v>学前教育</v>
      </c>
      <c r="S189" t="str">
        <f>"合肥师范学院"</f>
        <v>合肥师范学院</v>
      </c>
      <c r="T189" t="str">
        <f>"2018-7"</f>
        <v>2018-7</v>
      </c>
      <c r="U189" t="str">
        <f>"20183407312000377"</f>
        <v>20183407312000377</v>
      </c>
      <c r="V189" t="str">
        <f>"4年教学经验。"</f>
        <v>4年教学经验。</v>
      </c>
      <c r="W189" t="str">
        <f t="shared" si="83"/>
        <v>无</v>
      </c>
      <c r="X189" t="str">
        <f t="shared" si="78"/>
        <v>是</v>
      </c>
      <c r="Y189" t="str">
        <f>"无"</f>
        <v>无</v>
      </c>
      <c r="Z189" t="str">
        <f>"18255516520"</f>
        <v>18255516520</v>
      </c>
      <c r="AA189" t="str">
        <f>"合肥市新站区香江生态丽景A区"</f>
        <v>合肥市新站区香江生态丽景A区</v>
      </c>
      <c r="AB189" s="1" t="str">
        <f>"2013.09-2016.07就读于马鞍山幼儿师范学校
2016.09-2018.07就读于合肥师范学院
2018.09-2021.02南京七彩星城幼儿园
2021.09-2022.07合肥合铁家园幼儿园"</f>
        <v>2013.09-2016.07就读于马鞍山幼儿师范学校
2016.09-2018.07就读于合肥师范学院
2018.09-2021.02南京七彩星城幼儿园
2021.09-2022.07合肥合铁家园幼儿园</v>
      </c>
      <c r="AC189" t="str">
        <f>"在校期间多次获得三好学生荣誉称号，校内获得多次比赛证书。"</f>
        <v>在校期间多次获得三好学生荣誉称号，校内获得多次比赛证书。</v>
      </c>
      <c r="AD189" t="str">
        <f>"舞蹈、画画"</f>
        <v>舞蹈、画画</v>
      </c>
      <c r="AE189" t="str">
        <f>"父亲|涂育华|个体||母亲|刁群|个体|||||"</f>
        <v>父亲|涂育华|个体||母亲|刁群|个体|||||</v>
      </c>
      <c r="AF189" s="2">
        <v>44987.529074074075</v>
      </c>
      <c r="AG189">
        <v>1</v>
      </c>
      <c r="AH189">
        <v>1</v>
      </c>
      <c r="AI189">
        <v>0</v>
      </c>
      <c r="AJ189" t="s">
        <v>230</v>
      </c>
      <c r="AK189" s="4" t="s">
        <v>264</v>
      </c>
      <c r="AL189" s="4" t="s">
        <v>264</v>
      </c>
      <c r="AM189" s="4" t="s">
        <v>264</v>
      </c>
      <c r="AN189">
        <v>0</v>
      </c>
    </row>
    <row r="190" spans="1:40" ht="18" customHeight="1">
      <c r="A190" t="str">
        <f>"141720230301193410340833"</f>
        <v>141720230301193410340833</v>
      </c>
      <c r="B190" t="s">
        <v>44</v>
      </c>
      <c r="C190" t="str">
        <f>"张铭铭"</f>
        <v>张铭铭</v>
      </c>
      <c r="D190" t="str">
        <f t="shared" si="80"/>
        <v>女</v>
      </c>
      <c r="E190" t="str">
        <f>"2001-10"</f>
        <v>2001-10</v>
      </c>
      <c r="F190" t="str">
        <f>"安徽省阜阳市颍州区"</f>
        <v>安徽省阜阳市颍州区</v>
      </c>
      <c r="G190" t="str">
        <f t="shared" si="81"/>
        <v>汉族</v>
      </c>
      <c r="H190" t="str">
        <f>"共青团员"</f>
        <v>共青团员</v>
      </c>
      <c r="I190" t="str">
        <f>"341202200110243142"</f>
        <v>341202200110243142</v>
      </c>
      <c r="J190" t="str">
        <f t="shared" si="82"/>
        <v>未婚</v>
      </c>
      <c r="K190" t="str">
        <f>"本科"</f>
        <v>本科</v>
      </c>
      <c r="L190" t="str">
        <f>"学士"</f>
        <v>学士</v>
      </c>
      <c r="M190" t="str">
        <f t="shared" si="84"/>
        <v>学前教育</v>
      </c>
      <c r="N190" t="str">
        <f>"黄山学院"</f>
        <v>黄山学院</v>
      </c>
      <c r="O190" t="str">
        <f>"2023.6"</f>
        <v>2023.6</v>
      </c>
      <c r="P190" t="str">
        <f>"本科"</f>
        <v>本科</v>
      </c>
      <c r="Q190" t="str">
        <f>"学士"</f>
        <v>学士</v>
      </c>
      <c r="R190" t="str">
        <f t="shared" si="75"/>
        <v>学前教育</v>
      </c>
      <c r="S190" t="str">
        <f>"黄山学院"</f>
        <v>黄山学院</v>
      </c>
      <c r="T190" t="str">
        <f>"2023.6"</f>
        <v>2023.6</v>
      </c>
      <c r="U190" t="str">
        <f>"幼儿教师资格证，舞蹈教师资格证，小学语文教师资格证，小学心理健康教育教师资格证"</f>
        <v>幼儿教师资格证，舞蹈教师资格证，小学语文教师资格证，小学心理健康教育教师资格证</v>
      </c>
      <c r="V190" t="str">
        <f>"六个月"</f>
        <v>六个月</v>
      </c>
      <c r="W190" t="str">
        <f t="shared" si="83"/>
        <v>无</v>
      </c>
      <c r="X190" t="str">
        <f t="shared" si="78"/>
        <v>是</v>
      </c>
      <c r="Y190" t="str">
        <f>"黄山学院学生"</f>
        <v>黄山学院学生</v>
      </c>
      <c r="Z190" t="str">
        <f>"19155818480"</f>
        <v>19155818480</v>
      </c>
      <c r="AA190" t="str">
        <f>"安徽省阜阳市颍州区"</f>
        <v>安徽省阜阳市颍州区</v>
      </c>
      <c r="AB190" s="1" t="str">
        <f>"2016.9-2017.6阜阳十中
2017.9-2018.6阜阳职业技术学校
2018.9-2021.6宿州职业技术学院
2021.9-2013.6黄山学院"</f>
        <v>2016.9-2017.6阜阳十中
2017.9-2018.6阜阳职业技术学校
2018.9-2021.6宿州职业技术学院
2021.9-2013.6黄山学院</v>
      </c>
      <c r="AC190" t="str">
        <f>"一等奖学金，二等奖学金，三等奖学金，三好学生"</f>
        <v>一等奖学金，二等奖学金，三等奖学金，三好学生</v>
      </c>
      <c r="AD190" t="str">
        <f>"舞蹈，钢琴，阅读，音乐"</f>
        <v>舞蹈，钢琴，阅读，音乐</v>
      </c>
      <c r="AE190" t="str">
        <f>"父女|姚秀邦|蔡庄小学|教师|母女|杨德灵|无|无|姐弟|张志勇|阜阳十中|学生"</f>
        <v>父女|姚秀邦|蔡庄小学|教师|母女|杨德灵|无|无|姐弟|张志勇|阜阳十中|学生</v>
      </c>
      <c r="AF190" s="2">
        <v>44987.542858796296</v>
      </c>
      <c r="AG190">
        <v>1</v>
      </c>
      <c r="AH190">
        <v>1</v>
      </c>
      <c r="AI190">
        <v>0</v>
      </c>
      <c r="AJ190" t="s">
        <v>231</v>
      </c>
      <c r="AK190" s="4" t="s">
        <v>264</v>
      </c>
      <c r="AL190" s="4" t="s">
        <v>264</v>
      </c>
      <c r="AM190" s="4" t="s">
        <v>264</v>
      </c>
      <c r="AN190">
        <v>0</v>
      </c>
    </row>
    <row r="191" spans="1:40" ht="18" customHeight="1">
      <c r="A191" t="str">
        <f>"141720230301194416340834"</f>
        <v>141720230301194416340834</v>
      </c>
      <c r="B191" t="s">
        <v>44</v>
      </c>
      <c r="C191" t="str">
        <f>"段金金"</f>
        <v>段金金</v>
      </c>
      <c r="D191" t="str">
        <f t="shared" si="80"/>
        <v>女</v>
      </c>
      <c r="E191" t="str">
        <f>"1999-7-13"</f>
        <v>1999-7-13</v>
      </c>
      <c r="F191" t="str">
        <f>"安徽安庆"</f>
        <v>安徽安庆</v>
      </c>
      <c r="G191" t="str">
        <f t="shared" si="81"/>
        <v>汉族</v>
      </c>
      <c r="H191" t="str">
        <f>"共青团员"</f>
        <v>共青团员</v>
      </c>
      <c r="I191" t="str">
        <f>"340822199907134367"</f>
        <v>340822199907134367</v>
      </c>
      <c r="J191" t="str">
        <f t="shared" si="82"/>
        <v>未婚</v>
      </c>
      <c r="K191" t="str">
        <f>"本科"</f>
        <v>本科</v>
      </c>
      <c r="L191" t="str">
        <f>"学士"</f>
        <v>学士</v>
      </c>
      <c r="M191" t="str">
        <f t="shared" si="84"/>
        <v>学前教育</v>
      </c>
      <c r="N191" t="str">
        <f>"滁州学院"</f>
        <v>滁州学院</v>
      </c>
      <c r="O191" t="str">
        <f>"2022-6"</f>
        <v>2022-6</v>
      </c>
      <c r="P191" t="str">
        <f>"本科"</f>
        <v>本科</v>
      </c>
      <c r="Q191" t="str">
        <f>"学士"</f>
        <v>学士</v>
      </c>
      <c r="R191" t="str">
        <f t="shared" si="75"/>
        <v>学前教育</v>
      </c>
      <c r="S191" t="str">
        <f>"滁州学院"</f>
        <v>滁州学院</v>
      </c>
      <c r="T191" t="str">
        <f>"2022-6"</f>
        <v>2022-6</v>
      </c>
      <c r="U191" t="str">
        <f>"幼儿教师资格证、中职学前教育专业资格证"</f>
        <v>幼儿教师资格证、中职学前教育专业资格证</v>
      </c>
      <c r="V191" t="str">
        <f>"1年"</f>
        <v>1年</v>
      </c>
      <c r="W191" t="str">
        <f t="shared" si="83"/>
        <v>无</v>
      </c>
      <c r="X191" t="str">
        <f t="shared" si="78"/>
        <v>是</v>
      </c>
      <c r="Y191" t="str">
        <f>"安徽合肥机电技师学院"</f>
        <v>安徽合肥机电技师学院</v>
      </c>
      <c r="Z191" t="str">
        <f>"15755658657"</f>
        <v>15755658657</v>
      </c>
      <c r="AA191" t="str">
        <f>"安徽省合肥市经开区御景前城"</f>
        <v>安徽省合肥市经开区御景前城</v>
      </c>
      <c r="AB191" s="1" t="str">
        <f>"2015.9-2018.6    安庆第八中学               学生
2018.9-2022.6    滁州学院                   学生
2022.3-至今      安徽合肥机电技师学院       教师"</f>
        <v>2015.9-2018.6    安庆第八中学               学生
2018.9-2022.6    滁州学院                   学生
2022.3-至今      安徽合肥机电技师学院       教师</v>
      </c>
      <c r="AC191" t="str">
        <f>"无"</f>
        <v>无</v>
      </c>
      <c r="AD191" t="str">
        <f>"无"</f>
        <v>无</v>
      </c>
      <c r="AE191" t="str">
        <f>"父亲|段宗犬|务工|务工|母亲|吴满珍|务工|务工|姐姐|段青青|自营|自营"</f>
        <v>父亲|段宗犬|务工|务工|母亲|吴满珍|务工|务工|姐姐|段青青|自营|自营</v>
      </c>
      <c r="AF191" s="2">
        <v>44987.54319444444</v>
      </c>
      <c r="AG191">
        <v>1</v>
      </c>
      <c r="AH191">
        <v>1</v>
      </c>
      <c r="AI191">
        <v>0</v>
      </c>
      <c r="AJ191" t="s">
        <v>232</v>
      </c>
      <c r="AK191" s="4">
        <v>76.1</v>
      </c>
      <c r="AL191" s="4">
        <v>71</v>
      </c>
      <c r="AM191" s="4">
        <v>73.55</v>
      </c>
      <c r="AN191">
        <v>0</v>
      </c>
    </row>
    <row r="192" spans="1:40" ht="18" customHeight="1">
      <c r="A192" t="str">
        <f>"141720230301200342340835"</f>
        <v>141720230301200342340835</v>
      </c>
      <c r="B192" t="s">
        <v>44</v>
      </c>
      <c r="C192" t="str">
        <f>"朱怡佳"</f>
        <v>朱怡佳</v>
      </c>
      <c r="D192" t="str">
        <f t="shared" si="80"/>
        <v>女</v>
      </c>
      <c r="E192" t="str">
        <f>"1998-05"</f>
        <v>1998-05</v>
      </c>
      <c r="F192" t="str">
        <f>"安徽固镇"</f>
        <v>安徽固镇</v>
      </c>
      <c r="G192" t="str">
        <f t="shared" si="81"/>
        <v>汉族</v>
      </c>
      <c r="H192" t="str">
        <f>"群众"</f>
        <v>群众</v>
      </c>
      <c r="I192" t="str">
        <f>"340323199805100042"</f>
        <v>340323199805100042</v>
      </c>
      <c r="J192" t="str">
        <f t="shared" si="82"/>
        <v>未婚</v>
      </c>
      <c r="K192" t="str">
        <f>"大专"</f>
        <v>大专</v>
      </c>
      <c r="L192" t="str">
        <f>"无"</f>
        <v>无</v>
      </c>
      <c r="M192" t="str">
        <f t="shared" si="84"/>
        <v>学前教育</v>
      </c>
      <c r="N192" t="str">
        <f>"桐城师范高等专科学校"</f>
        <v>桐城师范高等专科学校</v>
      </c>
      <c r="O192" t="str">
        <f>"2018.7"</f>
        <v>2018.7</v>
      </c>
      <c r="P192" t="str">
        <f>"专科"</f>
        <v>专科</v>
      </c>
      <c r="Q192" t="str">
        <f>"无"</f>
        <v>无</v>
      </c>
      <c r="R192" t="str">
        <f t="shared" si="75"/>
        <v>学前教育</v>
      </c>
      <c r="S192" t="str">
        <f>"桐城师范高等专科学校"</f>
        <v>桐城师范高等专科学校</v>
      </c>
      <c r="T192" t="str">
        <f>"2018.7"</f>
        <v>2018.7</v>
      </c>
      <c r="U192" t="str">
        <f>"幼儿园教师资格"</f>
        <v>幼儿园教师资格</v>
      </c>
      <c r="V192" t="str">
        <f>"4年"</f>
        <v>4年</v>
      </c>
      <c r="W192" t="str">
        <f>"三级教师"</f>
        <v>三级教师</v>
      </c>
      <c r="X192" t="str">
        <f t="shared" si="78"/>
        <v>是</v>
      </c>
      <c r="Y192" t="str">
        <f>"固镇县实验幼儿园"</f>
        <v>固镇县实验幼儿园</v>
      </c>
      <c r="Z192" t="str">
        <f>"18855201241"</f>
        <v>18855201241</v>
      </c>
      <c r="AA192" t="str">
        <f>"安徽省固镇县东风北路交通巷"</f>
        <v>安徽省固镇县东风北路交通巷</v>
      </c>
      <c r="AB192" s="1" t="str">
        <f>"2012.9-2015.7 固镇二中 学生
2015.9-2018.7 桐城师范高等专科学校 学生
2018.9-2020.8 固镇县示范幼儿园 教师
2020.9至今 固镇县实验幼儿园 教师"</f>
        <v>2012.9-2015.7 固镇二中 学生
2015.9-2018.7 桐城师范高等专科学校 学生
2018.9-2020.8 固镇县示范幼儿园 教师
2020.9至今 固镇县实验幼儿园 教师</v>
      </c>
      <c r="AC192" s="1" t="str">
        <f>"2022年固镇县幼儿教师讲故事比赛 三等奖
2022年固镇县幼儿园自制玩教具展评活动 一等奖"</f>
        <v>2022年固镇县幼儿教师讲故事比赛 三等奖
2022年固镇县幼儿园自制玩教具展评活动 一等奖</v>
      </c>
      <c r="AD192" t="str">
        <f>"绘画"</f>
        <v>绘画</v>
      </c>
      <c r="AE192" t="str">
        <f>"父亲|朱明|格拉特生化公司|员工|母亲|王文娟|自由职业|||||"</f>
        <v>父亲|朱明|格拉特生化公司|员工|母亲|王文娟|自由职业|||||</v>
      </c>
      <c r="AF192" s="2">
        <v>44987.5246875</v>
      </c>
      <c r="AG192">
        <v>1</v>
      </c>
      <c r="AH192">
        <v>1</v>
      </c>
      <c r="AI192">
        <v>0</v>
      </c>
      <c r="AJ192" t="s">
        <v>233</v>
      </c>
      <c r="AK192" s="4">
        <v>72.3</v>
      </c>
      <c r="AL192" s="4">
        <v>71.1</v>
      </c>
      <c r="AM192" s="4">
        <v>71.69999999999999</v>
      </c>
      <c r="AN192">
        <v>0</v>
      </c>
    </row>
    <row r="193" spans="1:40" ht="18" customHeight="1">
      <c r="A193" t="str">
        <f>"141720230301201129340837"</f>
        <v>141720230301201129340837</v>
      </c>
      <c r="B193" t="s">
        <v>44</v>
      </c>
      <c r="C193" t="str">
        <f>"石丹萍"</f>
        <v>石丹萍</v>
      </c>
      <c r="D193" t="str">
        <f t="shared" si="80"/>
        <v>女</v>
      </c>
      <c r="E193" t="str">
        <f>"199503"</f>
        <v>199503</v>
      </c>
      <c r="F193" t="str">
        <f>"安徽省包河区"</f>
        <v>安徽省包河区</v>
      </c>
      <c r="G193" t="str">
        <f t="shared" si="81"/>
        <v>汉族</v>
      </c>
      <c r="H193" t="str">
        <f>"中共党员"</f>
        <v>中共党员</v>
      </c>
      <c r="I193" t="str">
        <f>"340826199503290027"</f>
        <v>340826199503290027</v>
      </c>
      <c r="J193" t="str">
        <f>"已婚"</f>
        <v>已婚</v>
      </c>
      <c r="K193" t="str">
        <f>"大专"</f>
        <v>大专</v>
      </c>
      <c r="L193" t="str">
        <f>"大专"</f>
        <v>大专</v>
      </c>
      <c r="M193" t="str">
        <f t="shared" si="84"/>
        <v>学前教育</v>
      </c>
      <c r="N193" t="str">
        <f>"桐城师范高等专科学校"</f>
        <v>桐城师范高等专科学校</v>
      </c>
      <c r="O193" t="str">
        <f>"2015.6"</f>
        <v>2015.6</v>
      </c>
      <c r="P193" t="str">
        <f>"大专"</f>
        <v>大专</v>
      </c>
      <c r="Q193" t="str">
        <f>"大专"</f>
        <v>大专</v>
      </c>
      <c r="R193" t="str">
        <f>"学前教育专业"</f>
        <v>学前教育专业</v>
      </c>
      <c r="S193" t="str">
        <f>"桐城师范高等专科学校"</f>
        <v>桐城师范高等专科学校</v>
      </c>
      <c r="T193" t="str">
        <f>"2015.6"</f>
        <v>2015.6</v>
      </c>
      <c r="U193" t="str">
        <f>"大专毕业证书 教师资格证书 二甲普通话证书"</f>
        <v>大专毕业证书 教师资格证书 二甲普通话证书</v>
      </c>
      <c r="V193" t="str">
        <f>"3"</f>
        <v>3</v>
      </c>
      <c r="W193" t="str">
        <f aca="true" t="shared" si="85" ref="W193:W200">"无"</f>
        <v>无</v>
      </c>
      <c r="X193" t="str">
        <f t="shared" si="78"/>
        <v>是</v>
      </c>
      <c r="Y193" t="str">
        <f>"合肥市包河区至德路幼儿园"</f>
        <v>合肥市包河区至德路幼儿园</v>
      </c>
      <c r="Z193" t="str">
        <f>"15755184713"</f>
        <v>15755184713</v>
      </c>
      <c r="AA193" t="str">
        <f>"安徽省合肥市包河区和昌都汇华府"</f>
        <v>安徽省合肥市包河区和昌都汇华府</v>
      </c>
      <c r="AB193" s="1" t="str">
        <f>"2010.9-2015.6桐城师范高等专科学校
2014.9-2014.12池州市妇联幼儿园
2016.8-2018.6合肥市包河区地矿家园幼儿园
2019.7-2020.10乐博乐博机器人
2021.6-2021.11完形家庭教育
2022.2-2022.6合肥市包河区望湖北苑幼儿园
2022.8-2023.9合肥市包河区至德路幼儿园
"</f>
        <v>2010.9-2015.6桐城师范高等专科学校
2014.9-2014.12池州市妇联幼儿园
2016.8-2018.6合肥市包河区地矿家园幼儿园
2019.7-2020.10乐博乐博机器人
2021.6-2021.11完形家庭教育
2022.2-2022.6合肥市包河区望湖北苑幼儿园
2022.8-2023.9合肥市包河区至德路幼儿园
</v>
      </c>
      <c r="AC193" t="str">
        <f>"无"</f>
        <v>无</v>
      </c>
      <c r="AD193" t="str">
        <f>"喜欢唱歌，画画，热爱运动。"</f>
        <v>喜欢唱歌，画画，热爱运动。</v>
      </c>
      <c r="AE193" t="str">
        <f>"丈夫|蔡晓东|合肥市包河区绿地中心|制片||||||||"</f>
        <v>丈夫|蔡晓东|合肥市包河区绿地中心|制片||||||||</v>
      </c>
      <c r="AF193" s="2">
        <v>44987.52260416667</v>
      </c>
      <c r="AG193">
        <v>1</v>
      </c>
      <c r="AH193">
        <v>1</v>
      </c>
      <c r="AI193">
        <v>0</v>
      </c>
      <c r="AJ193" t="s">
        <v>234</v>
      </c>
      <c r="AK193" s="4">
        <v>68.2</v>
      </c>
      <c r="AL193" s="4">
        <v>64.7</v>
      </c>
      <c r="AM193" s="4">
        <v>66.45</v>
      </c>
      <c r="AN193">
        <v>0</v>
      </c>
    </row>
    <row r="194" spans="1:40" ht="18" customHeight="1">
      <c r="A194" t="str">
        <f>"141720230301212505340846"</f>
        <v>141720230301212505340846</v>
      </c>
      <c r="B194" t="s">
        <v>44</v>
      </c>
      <c r="C194" t="str">
        <f>"张静怡"</f>
        <v>张静怡</v>
      </c>
      <c r="D194" t="str">
        <f t="shared" si="80"/>
        <v>女</v>
      </c>
      <c r="E194" t="str">
        <f>"2002-10"</f>
        <v>2002-10</v>
      </c>
      <c r="F194" t="str">
        <f>"安徽省宿州市"</f>
        <v>安徽省宿州市</v>
      </c>
      <c r="G194" t="str">
        <f t="shared" si="81"/>
        <v>汉族</v>
      </c>
      <c r="H194" t="str">
        <f aca="true" t="shared" si="86" ref="H194:H201">"共青团员"</f>
        <v>共青团员</v>
      </c>
      <c r="I194" t="str">
        <f>"341302200210262821"</f>
        <v>341302200210262821</v>
      </c>
      <c r="J194" t="str">
        <f>"未婚"</f>
        <v>未婚</v>
      </c>
      <c r="K194" t="str">
        <f>"专科"</f>
        <v>专科</v>
      </c>
      <c r="L194" t="str">
        <f>"无"</f>
        <v>无</v>
      </c>
      <c r="M194" t="str">
        <f t="shared" si="84"/>
        <v>学前教育</v>
      </c>
      <c r="N194" t="str">
        <f>"桐城师范高等专科学校"</f>
        <v>桐城师范高等专科学校</v>
      </c>
      <c r="O194" t="str">
        <f>"2023-6"</f>
        <v>2023-6</v>
      </c>
      <c r="P194" t="str">
        <f>"专科"</f>
        <v>专科</v>
      </c>
      <c r="Q194" t="str">
        <f>"无"</f>
        <v>无</v>
      </c>
      <c r="R194" t="str">
        <f>"学前教育"</f>
        <v>学前教育</v>
      </c>
      <c r="S194" t="str">
        <f>"桐城师范高等专科学校"</f>
        <v>桐城师范高等专科学校</v>
      </c>
      <c r="T194" t="str">
        <f>"2023-6"</f>
        <v>2023-6</v>
      </c>
      <c r="U194" t="str">
        <f>"幼儿教资合格证、普通话二级甲等"</f>
        <v>幼儿教资合格证、普通话二级甲等</v>
      </c>
      <c r="V194" t="str">
        <f>"无"</f>
        <v>无</v>
      </c>
      <c r="W194" t="str">
        <f t="shared" si="85"/>
        <v>无</v>
      </c>
      <c r="X194" t="str">
        <f t="shared" si="78"/>
        <v>是</v>
      </c>
      <c r="Y194" t="str">
        <f>"无"</f>
        <v>无</v>
      </c>
      <c r="Z194" t="str">
        <f>"15650812018"</f>
        <v>15650812018</v>
      </c>
      <c r="AA194" t="str">
        <f>"安徽省宿州市埇桥区汴北佳苑"</f>
        <v>安徽省宿州市埇桥区汴北佳苑</v>
      </c>
      <c r="AB194" s="1" t="str">
        <f>"2017.9-2020.6 安徽省宿州市城南一中 学生  
2020.9-2023.6 桐城师范高等专科学校 学生
"</f>
        <v>2017.9-2020.6 安徽省宿州市城南一中 学生  
2020.9-2023.6 桐城师范高等专科学校 学生
</v>
      </c>
      <c r="AC194" t="str">
        <f>"大学期间 获得“儿童创编舞大赛”三等奖"</f>
        <v>大学期间 获得“儿童创编舞大赛”三等奖</v>
      </c>
      <c r="AD194" t="str">
        <f>"喜欢看书，制作视频、图片"</f>
        <v>喜欢看书，制作视频、图片</v>
      </c>
      <c r="AE194" t="str">
        <f>"母女|高会芳|无|个体|父女|张天宝|无|个体||||"</f>
        <v>母女|高会芳|无|个体|父女|张天宝|无|个体||||</v>
      </c>
      <c r="AF194" s="2">
        <v>44987.70377314815</v>
      </c>
      <c r="AG194">
        <v>1</v>
      </c>
      <c r="AH194">
        <v>1</v>
      </c>
      <c r="AI194">
        <v>0</v>
      </c>
      <c r="AJ194" t="s">
        <v>235</v>
      </c>
      <c r="AK194" s="4">
        <v>58.2</v>
      </c>
      <c r="AL194" s="4">
        <v>63.4</v>
      </c>
      <c r="AM194" s="4">
        <v>60.8</v>
      </c>
      <c r="AN194">
        <v>0</v>
      </c>
    </row>
    <row r="195" spans="1:40" ht="18" customHeight="1">
      <c r="A195" t="str">
        <f>"141720230301213707340850"</f>
        <v>141720230301213707340850</v>
      </c>
      <c r="B195" t="s">
        <v>44</v>
      </c>
      <c r="C195" t="str">
        <f>"谢丁"</f>
        <v>谢丁</v>
      </c>
      <c r="D195" t="str">
        <f t="shared" si="80"/>
        <v>女</v>
      </c>
      <c r="E195" t="str">
        <f>"2002-08"</f>
        <v>2002-08</v>
      </c>
      <c r="F195" t="str">
        <f>"安徽岳西"</f>
        <v>安徽岳西</v>
      </c>
      <c r="G195" t="str">
        <f t="shared" si="81"/>
        <v>汉族</v>
      </c>
      <c r="H195" t="str">
        <f t="shared" si="86"/>
        <v>共青团员</v>
      </c>
      <c r="I195" t="str">
        <f>"34080220020820002X"</f>
        <v>34080220020820002X</v>
      </c>
      <c r="J195" t="str">
        <f>"未婚"</f>
        <v>未婚</v>
      </c>
      <c r="K195" t="str">
        <f>"本科"</f>
        <v>本科</v>
      </c>
      <c r="L195" t="str">
        <f>"学士"</f>
        <v>学士</v>
      </c>
      <c r="M195" t="str">
        <f t="shared" si="84"/>
        <v>学前教育</v>
      </c>
      <c r="N195" t="str">
        <f>"安庆师范大学"</f>
        <v>安庆师范大学</v>
      </c>
      <c r="O195" t="str">
        <f>"2023-06"</f>
        <v>2023-06</v>
      </c>
      <c r="P195" t="str">
        <f>"本科"</f>
        <v>本科</v>
      </c>
      <c r="Q195" t="str">
        <f>"学士"</f>
        <v>学士</v>
      </c>
      <c r="R195" t="str">
        <f>"学前教育"</f>
        <v>学前教育</v>
      </c>
      <c r="S195" t="str">
        <f>"安庆师范大学"</f>
        <v>安庆师范大学</v>
      </c>
      <c r="T195" t="str">
        <f>"2023-06"</f>
        <v>2023-06</v>
      </c>
      <c r="U195" t="str">
        <f>"幼儿园教师资格证；普通话二甲；"</f>
        <v>幼儿园教师资格证；普通话二甲；</v>
      </c>
      <c r="V195" t="str">
        <f>"无"</f>
        <v>无</v>
      </c>
      <c r="W195" t="str">
        <f t="shared" si="85"/>
        <v>无</v>
      </c>
      <c r="X195" t="str">
        <f t="shared" si="78"/>
        <v>是</v>
      </c>
      <c r="Y195" t="str">
        <f>"无"</f>
        <v>无</v>
      </c>
      <c r="Z195" t="str">
        <f>"18712182377"</f>
        <v>18712182377</v>
      </c>
      <c r="AA195" t="str">
        <f>"安徽省安庆市岳西县平岗安置区802室"</f>
        <v>安徽省安庆市岳西县平岗安置区802室</v>
      </c>
      <c r="AB195" s="1" t="str">
        <f>"1.2007.9-2013.6，岳西县中洲小学，学生
2.2013.9-2016.6，岳西县城关初中,学生
3.2016.9-2019.6，安庆大别山科技学校，学生
4.2019.9-至今，安庆师范大学，学生"</f>
        <v>1.2007.9-2013.6，岳西县中洲小学，学生
2.2013.9-2016.6，岳西县城关初中,学生
3.2016.9-2019.6，安庆大别山科技学校，学生
4.2019.9-至今，安庆师范大学，学生</v>
      </c>
      <c r="AC195" s="1" t="str">
        <f>"2018年12月，在安庆大别山科技学校幼儿园教育活动设计比赛中获得第一名
2018年12月，在安庆大别山科技学校学前教育专业案例分析比赛中获得第一名
2018年12月，在安庆大别山科技学校讲故事比赛中获得一等奖
2018年12月，在2018年安庆市职业院校技能大赛中职组幼儿园教育活动设计比赛中获得一等奖
2019年5月，在2019年安徽省职业院校技能大赛中职组幼儿园教育活动设计比赛中获三等奖
2019年11月，在安庆师范大学第五届“弘爱国之心，立少年之志”主题演讲比赛中获得第一名"</f>
        <v>2018年12月，在安庆大别山科技学校幼儿园教育活动设计比赛中获得第一名
2018年12月，在安庆大别山科技学校学前教育专业案例分析比赛中获得第一名
2018年12月，在安庆大别山科技学校讲故事比赛中获得一等奖
2018年12月，在2018年安庆市职业院校技能大赛中职组幼儿园教育活动设计比赛中获得一等奖
2019年5月，在2019年安徽省职业院校技能大赛中职组幼儿园教育活动设计比赛中获三等奖
2019年11月，在安庆师范大学第五届“弘爱国之心，立少年之志”主题演讲比赛中获得第一名</v>
      </c>
      <c r="AD195" t="str">
        <f>"钢琴；绘画；舞蹈；架子鼓；唱歌"</f>
        <v>钢琴；绘画；舞蹈；架子鼓；唱歌</v>
      </c>
      <c r="AE195" t="str">
        <f>"母女|丁惠芳|岳西县意尔康鞋店|店员|父女|王节林|合肥福运来物流公司|司机||||"</f>
        <v>母女|丁惠芳|岳西县意尔康鞋店|店员|父女|王节林|合肥福运来物流公司|司机||||</v>
      </c>
      <c r="AF195" s="2">
        <v>44987.59369212963</v>
      </c>
      <c r="AG195">
        <v>1</v>
      </c>
      <c r="AH195">
        <v>1</v>
      </c>
      <c r="AI195">
        <v>0</v>
      </c>
      <c r="AJ195" t="s">
        <v>236</v>
      </c>
      <c r="AK195" s="4" t="s">
        <v>264</v>
      </c>
      <c r="AL195" s="4" t="s">
        <v>264</v>
      </c>
      <c r="AM195" s="4" t="s">
        <v>264</v>
      </c>
      <c r="AN195">
        <v>0</v>
      </c>
    </row>
    <row r="196" spans="1:40" ht="18" customHeight="1">
      <c r="A196" t="str">
        <f>"141720230301220249340855"</f>
        <v>141720230301220249340855</v>
      </c>
      <c r="B196" t="s">
        <v>44</v>
      </c>
      <c r="C196" t="str">
        <f>"陈姝妍"</f>
        <v>陈姝妍</v>
      </c>
      <c r="D196" t="str">
        <f t="shared" si="80"/>
        <v>女</v>
      </c>
      <c r="E196" t="str">
        <f>"2001-11"</f>
        <v>2001-11</v>
      </c>
      <c r="F196" t="str">
        <f>"安徽瑶海区"</f>
        <v>安徽瑶海区</v>
      </c>
      <c r="G196" t="str">
        <f t="shared" si="81"/>
        <v>汉族</v>
      </c>
      <c r="H196" t="str">
        <f t="shared" si="86"/>
        <v>共青团员</v>
      </c>
      <c r="I196" t="str">
        <f>"340123200111093321"</f>
        <v>340123200111093321</v>
      </c>
      <c r="J196" t="str">
        <f>"未婚"</f>
        <v>未婚</v>
      </c>
      <c r="K196" t="str">
        <f>"大专"</f>
        <v>大专</v>
      </c>
      <c r="L196" t="str">
        <f>"无"</f>
        <v>无</v>
      </c>
      <c r="M196" t="str">
        <f>"学前教育专业"</f>
        <v>学前教育专业</v>
      </c>
      <c r="N196" t="str">
        <f>"桐城师范高等专科学校"</f>
        <v>桐城师范高等专科学校</v>
      </c>
      <c r="O196" t="str">
        <f>"2023-6"</f>
        <v>2023-6</v>
      </c>
      <c r="P196" t="str">
        <f>"大专"</f>
        <v>大专</v>
      </c>
      <c r="Q196" t="str">
        <f>"无"</f>
        <v>无</v>
      </c>
      <c r="R196" t="str">
        <f>"学前教育专业"</f>
        <v>学前教育专业</v>
      </c>
      <c r="S196" t="str">
        <f>"桐城师范高等专科学校"</f>
        <v>桐城师范高等专科学校</v>
      </c>
      <c r="T196" t="str">
        <f>"2023-6"</f>
        <v>2023-6</v>
      </c>
      <c r="U196" t="str">
        <f>"普通话二甲证书，幼儿园教资合格证"</f>
        <v>普通话二甲证书，幼儿园教资合格证</v>
      </c>
      <c r="V196" t="str">
        <f>"无"</f>
        <v>无</v>
      </c>
      <c r="W196" t="str">
        <f t="shared" si="85"/>
        <v>无</v>
      </c>
      <c r="X196" t="str">
        <f t="shared" si="78"/>
        <v>是</v>
      </c>
      <c r="Y196" t="str">
        <f>"无"</f>
        <v>无</v>
      </c>
      <c r="Z196" t="str">
        <f>"18955171901"</f>
        <v>18955171901</v>
      </c>
      <c r="AA196" t="str">
        <f>"安徽省瑶海区大通路恒盛·豪庭"</f>
        <v>安徽省瑶海区大通路恒盛·豪庭</v>
      </c>
      <c r="AB196" s="1" t="str">
        <f>"2017.9-2020.6 肥东锦弘中学 学生；
2020.9-2023.6 桐城师范高等专科学校 学生；"</f>
        <v>2017.9-2020.6 肥东锦弘中学 学生；
2020.9-2023.6 桐城师范高等专科学校 学生；</v>
      </c>
      <c r="AC196" s="1" t="str">
        <f>"大学期间 获得“儿童创编舞大赛” 三等奖
         获得“2022年度先进个人”荣誉称号"</f>
        <v>大学期间 获得“儿童创编舞大赛” 三等奖
         获得“2022年度先进个人”荣誉称号</v>
      </c>
      <c r="AD196" s="1" t="str">
        <f>"爱好看书，看绘本
擅长简单视频制作、图片修改"</f>
        <v>爱好看书，看绘本
擅长简单视频制作、图片修改</v>
      </c>
      <c r="AE196" t="str">
        <f>"父女|陈功|无|个体|母女|台德群|无|无|姐弟|陈以鹏|无|学生"</f>
        <v>父女|陈功|无|个体|母女|台德群|无|无|姐弟|陈以鹏|无|学生</v>
      </c>
      <c r="AF196" s="2">
        <v>44987.51962962963</v>
      </c>
      <c r="AG196">
        <v>1</v>
      </c>
      <c r="AH196">
        <v>1</v>
      </c>
      <c r="AI196">
        <v>0</v>
      </c>
      <c r="AJ196" t="s">
        <v>237</v>
      </c>
      <c r="AK196" s="4">
        <v>64.9</v>
      </c>
      <c r="AL196" s="4">
        <v>63.8</v>
      </c>
      <c r="AM196" s="4">
        <v>64.35</v>
      </c>
      <c r="AN196">
        <v>0</v>
      </c>
    </row>
    <row r="197" spans="1:40" ht="18" customHeight="1">
      <c r="A197" t="str">
        <f>"141720230301220845340860"</f>
        <v>141720230301220845340860</v>
      </c>
      <c r="B197" t="s">
        <v>44</v>
      </c>
      <c r="C197" t="str">
        <f>"吴蓉蓉"</f>
        <v>吴蓉蓉</v>
      </c>
      <c r="D197" t="str">
        <f t="shared" si="80"/>
        <v>女</v>
      </c>
      <c r="E197" t="str">
        <f>"2002-2"</f>
        <v>2002-2</v>
      </c>
      <c r="F197" t="str">
        <f>"安徽巢湖市"</f>
        <v>安徽巢湖市</v>
      </c>
      <c r="G197" t="str">
        <f t="shared" si="81"/>
        <v>汉族</v>
      </c>
      <c r="H197" t="str">
        <f t="shared" si="86"/>
        <v>共青团员</v>
      </c>
      <c r="I197" t="str">
        <f>"342601200202207727"</f>
        <v>342601200202207727</v>
      </c>
      <c r="J197" t="str">
        <f>"未婚"</f>
        <v>未婚</v>
      </c>
      <c r="K197" t="str">
        <f>"大专"</f>
        <v>大专</v>
      </c>
      <c r="L197" t="str">
        <f>"无"</f>
        <v>无</v>
      </c>
      <c r="M197" t="str">
        <f>"学前教育专业"</f>
        <v>学前教育专业</v>
      </c>
      <c r="N197" t="str">
        <f>"合肥幼儿高等专科学校"</f>
        <v>合肥幼儿高等专科学校</v>
      </c>
      <c r="O197" t="str">
        <f>"2022"</f>
        <v>2022</v>
      </c>
      <c r="P197" t="str">
        <f>"大专"</f>
        <v>大专</v>
      </c>
      <c r="Q197" t="str">
        <f>"无"</f>
        <v>无</v>
      </c>
      <c r="R197" t="str">
        <f>"学前教育"</f>
        <v>学前教育</v>
      </c>
      <c r="S197" t="str">
        <f>"合肥幼儿高等专科学校"</f>
        <v>合肥幼儿高等专科学校</v>
      </c>
      <c r="T197" t="str">
        <f>"2022"</f>
        <v>2022</v>
      </c>
      <c r="U197" t="str">
        <f>"幼儿园教师资格证"</f>
        <v>幼儿园教师资格证</v>
      </c>
      <c r="V197" t="str">
        <f>"1年"</f>
        <v>1年</v>
      </c>
      <c r="W197" t="str">
        <f t="shared" si="85"/>
        <v>无</v>
      </c>
      <c r="X197" t="str">
        <f t="shared" si="78"/>
        <v>是</v>
      </c>
      <c r="Y197" t="str">
        <f>"合肥市菊园幼儿园"</f>
        <v>合肥市菊园幼儿园</v>
      </c>
      <c r="Z197" t="str">
        <f>"15056982494"</f>
        <v>15056982494</v>
      </c>
      <c r="AA197" t="str">
        <f>"合肥市滨湖菊园小区"</f>
        <v>合肥市滨湖菊园小区</v>
      </c>
      <c r="AB197" t="str">
        <f>"2017.9-2022.6合肥幼专学生2022.6至今合肥市菊园幼儿园员工"</f>
        <v>2017.9-2022.6合肥幼专学生2022.6至今合肥市菊园幼儿园员工</v>
      </c>
      <c r="AC197" t="str">
        <f>"在校期间获得过奖学金，朗诵比赛二等奖"</f>
        <v>在校期间获得过奖学金，朗诵比赛二等奖</v>
      </c>
      <c r="AD197" t="str">
        <f>"画画"</f>
        <v>画画</v>
      </c>
      <c r="AE197" t="str">
        <f>"父亲|吴惠树|无|打临工||||||||"</f>
        <v>父亲|吴惠树|无|打临工||||||||</v>
      </c>
      <c r="AF197" s="2">
        <v>44987.644791666666</v>
      </c>
      <c r="AG197">
        <v>1</v>
      </c>
      <c r="AH197">
        <v>1</v>
      </c>
      <c r="AI197">
        <v>0</v>
      </c>
      <c r="AJ197" t="s">
        <v>238</v>
      </c>
      <c r="AK197" s="4">
        <v>68.3</v>
      </c>
      <c r="AL197" s="4">
        <v>53.3</v>
      </c>
      <c r="AM197" s="4">
        <v>60.8</v>
      </c>
      <c r="AN197">
        <v>0</v>
      </c>
    </row>
    <row r="198" spans="1:40" ht="18" customHeight="1">
      <c r="A198" t="str">
        <f>"141720230301225430340863"</f>
        <v>141720230301225430340863</v>
      </c>
      <c r="B198" t="s">
        <v>44</v>
      </c>
      <c r="C198" t="str">
        <f>"骆云云"</f>
        <v>骆云云</v>
      </c>
      <c r="D198" t="str">
        <f t="shared" si="80"/>
        <v>女</v>
      </c>
      <c r="E198" t="str">
        <f>"1993-10"</f>
        <v>1993-10</v>
      </c>
      <c r="F198" t="str">
        <f>"芜湖南陵"</f>
        <v>芜湖南陵</v>
      </c>
      <c r="G198" t="str">
        <f t="shared" si="81"/>
        <v>汉族</v>
      </c>
      <c r="H198" t="str">
        <f t="shared" si="86"/>
        <v>共青团员</v>
      </c>
      <c r="I198" t="str">
        <f>"340223199310080603"</f>
        <v>340223199310080603</v>
      </c>
      <c r="J198" t="str">
        <f>"已婚"</f>
        <v>已婚</v>
      </c>
      <c r="K198" t="str">
        <f>"本科"</f>
        <v>本科</v>
      </c>
      <c r="L198" t="str">
        <f>"学士"</f>
        <v>学士</v>
      </c>
      <c r="M198" t="str">
        <f>"学前教育"</f>
        <v>学前教育</v>
      </c>
      <c r="N198" t="str">
        <f>"安庆师范大学"</f>
        <v>安庆师范大学</v>
      </c>
      <c r="O198" t="str">
        <f>"2016.07"</f>
        <v>2016.07</v>
      </c>
      <c r="P198" t="str">
        <f>"本科"</f>
        <v>本科</v>
      </c>
      <c r="Q198" t="str">
        <f>"学士"</f>
        <v>学士</v>
      </c>
      <c r="R198" t="str">
        <f>"学前教育"</f>
        <v>学前教育</v>
      </c>
      <c r="S198" t="str">
        <f>"安庆师范大学"</f>
        <v>安庆师范大学</v>
      </c>
      <c r="T198" t="str">
        <f>"2016.07"</f>
        <v>2016.07</v>
      </c>
      <c r="U198" t="str">
        <f>"幼儿园教师资格证"</f>
        <v>幼儿园教师资格证</v>
      </c>
      <c r="V198" t="str">
        <f>"1"</f>
        <v>1</v>
      </c>
      <c r="W198" t="str">
        <f t="shared" si="85"/>
        <v>无</v>
      </c>
      <c r="X198" t="str">
        <f t="shared" si="78"/>
        <v>是</v>
      </c>
      <c r="Y198" t="str">
        <f>"合肥智慧树幼儿园"</f>
        <v>合肥智慧树幼儿园</v>
      </c>
      <c r="Z198" t="str">
        <f>"15856956564"</f>
        <v>15856956564</v>
      </c>
      <c r="AA198" t="str">
        <f>"蜀山区博澳丽苑"</f>
        <v>蜀山区博澳丽苑</v>
      </c>
      <c r="AB198" s="1" t="str">
        <f>"2009.9-2012.6南陵一中 学生
2012.9-2016.7 安庆师范大学 学生
2022.9-至今 合肥智慧树幼儿园 员工
"</f>
        <v>2009.9-2012.6南陵一中 学生
2012.9-2016.7 安庆师范大学 学生
2022.9-至今 合肥智慧树幼儿园 员工
</v>
      </c>
      <c r="AC198" t="str">
        <f>"无"</f>
        <v>无</v>
      </c>
      <c r="AD198" t="str">
        <f>"无"</f>
        <v>无</v>
      </c>
      <c r="AE198" t="str">
        <f>"父亲|骆传高|自由职业||母亲|梅小姥|自由职业|||||"</f>
        <v>父亲|骆传高|自由职业||母亲|梅小姥|自由职业|||||</v>
      </c>
      <c r="AF198" s="2">
        <v>44987.40173611111</v>
      </c>
      <c r="AG198">
        <v>1</v>
      </c>
      <c r="AH198">
        <v>1</v>
      </c>
      <c r="AI198">
        <v>0</v>
      </c>
      <c r="AJ198" t="s">
        <v>239</v>
      </c>
      <c r="AK198" s="4" t="s">
        <v>264</v>
      </c>
      <c r="AL198" s="4" t="s">
        <v>264</v>
      </c>
      <c r="AM198" s="4" t="s">
        <v>264</v>
      </c>
      <c r="AN198">
        <v>0</v>
      </c>
    </row>
    <row r="199" spans="1:40" ht="18" customHeight="1">
      <c r="A199" t="str">
        <f>"141720230301230019340864"</f>
        <v>141720230301230019340864</v>
      </c>
      <c r="B199" t="s">
        <v>44</v>
      </c>
      <c r="C199" t="str">
        <f>"刘巧玲"</f>
        <v>刘巧玲</v>
      </c>
      <c r="D199" t="str">
        <f t="shared" si="80"/>
        <v>女</v>
      </c>
      <c r="E199" t="str">
        <f>"2002-02"</f>
        <v>2002-02</v>
      </c>
      <c r="F199" t="str">
        <f>"安徽滁州"</f>
        <v>安徽滁州</v>
      </c>
      <c r="G199" t="str">
        <f t="shared" si="81"/>
        <v>汉族</v>
      </c>
      <c r="H199" t="str">
        <f t="shared" si="86"/>
        <v>共青团员</v>
      </c>
      <c r="I199" t="str">
        <f>"341125200202111103"</f>
        <v>341125200202111103</v>
      </c>
      <c r="J199" t="str">
        <f aca="true" t="shared" si="87" ref="J199:J205">"未婚"</f>
        <v>未婚</v>
      </c>
      <c r="K199" t="str">
        <f>"专科"</f>
        <v>专科</v>
      </c>
      <c r="L199" t="str">
        <f>"无"</f>
        <v>无</v>
      </c>
      <c r="M199" t="str">
        <f>"学前教育"</f>
        <v>学前教育</v>
      </c>
      <c r="N199" t="str">
        <f>"桐城师范高等专科学校"</f>
        <v>桐城师范高等专科学校</v>
      </c>
      <c r="O199" t="str">
        <f>"2023-6"</f>
        <v>2023-6</v>
      </c>
      <c r="P199" t="str">
        <f>"专科"</f>
        <v>专科</v>
      </c>
      <c r="Q199" t="str">
        <f>"无"</f>
        <v>无</v>
      </c>
      <c r="R199" t="str">
        <f>"学前教育"</f>
        <v>学前教育</v>
      </c>
      <c r="S199" t="str">
        <f>"桐城师范高等专科学校"</f>
        <v>桐城师范高等专科学校</v>
      </c>
      <c r="T199" t="str">
        <f>"2023-6"</f>
        <v>2023-6</v>
      </c>
      <c r="U199" t="str">
        <f>"幼儿教资合格证、普通话二级甲等"</f>
        <v>幼儿教资合格证、普通话二级甲等</v>
      </c>
      <c r="V199" t="str">
        <f>"无"</f>
        <v>无</v>
      </c>
      <c r="W199" t="str">
        <f t="shared" si="85"/>
        <v>无</v>
      </c>
      <c r="X199" t="str">
        <f t="shared" si="78"/>
        <v>是</v>
      </c>
      <c r="Y199" t="str">
        <f>"在校"</f>
        <v>在校</v>
      </c>
      <c r="Z199" t="str">
        <f>"无"</f>
        <v>无</v>
      </c>
      <c r="AA199" t="str">
        <f>"安徽省合肥市瑶海区北岗花园"</f>
        <v>安徽省合肥市瑶海区北岗花园</v>
      </c>
      <c r="AB199" t="str">
        <f>"2017.9-2020.6定远英华中学 2020.9-2023.6桐城师范高等专科学校"</f>
        <v>2017.9-2020.6定远英华中学 2020.9-2023.6桐城师范高等专科学校</v>
      </c>
      <c r="AC199" t="str">
        <f>"大一获得奖学金及“三好学生”称号、大二获得“儿童舞创编大赛”三等奖、大三获得舞台剧二等奖"</f>
        <v>大一获得奖学金及“三好学生”称号、大二获得“儿童舞创编大赛”三等奖、大三获得舞台剧二等奖</v>
      </c>
      <c r="AD199" t="str">
        <f>"喜欢看书、做手工、制作照片及视频"</f>
        <v>喜欢看书、做手工、制作照片及视频</v>
      </c>
      <c r="AE199" t="str">
        <f>"父女|刘保玉|无|个体|母女|李海燕|无|个体|姐弟|刘铁祝|合肥三十五中|学生"</f>
        <v>父女|刘保玉|无|个体|母女|李海燕|无|个体|姐弟|刘铁祝|合肥三十五中|学生</v>
      </c>
      <c r="AF199" s="2">
        <v>44987.39314814815</v>
      </c>
      <c r="AG199">
        <v>1</v>
      </c>
      <c r="AH199">
        <v>1</v>
      </c>
      <c r="AI199">
        <v>0</v>
      </c>
      <c r="AJ199" t="s">
        <v>240</v>
      </c>
      <c r="AK199" s="4">
        <v>77.4</v>
      </c>
      <c r="AL199" s="4">
        <v>69</v>
      </c>
      <c r="AM199" s="4">
        <v>73.2</v>
      </c>
      <c r="AN199">
        <v>0</v>
      </c>
    </row>
    <row r="200" spans="1:40" ht="18" customHeight="1">
      <c r="A200" t="str">
        <f>"141720230301230432340865"</f>
        <v>141720230301230432340865</v>
      </c>
      <c r="B200" t="s">
        <v>44</v>
      </c>
      <c r="C200" t="str">
        <f>"张宁宁"</f>
        <v>张宁宁</v>
      </c>
      <c r="D200" t="str">
        <f t="shared" si="80"/>
        <v>女</v>
      </c>
      <c r="E200" t="str">
        <f>"1999-10-21"</f>
        <v>1999-10-21</v>
      </c>
      <c r="F200" t="str">
        <f>"安徽省界首市"</f>
        <v>安徽省界首市</v>
      </c>
      <c r="G200" t="str">
        <f t="shared" si="81"/>
        <v>汉族</v>
      </c>
      <c r="H200" t="str">
        <f t="shared" si="86"/>
        <v>共青团员</v>
      </c>
      <c r="I200" t="str">
        <f>"34128219991021432X"</f>
        <v>34128219991021432X</v>
      </c>
      <c r="J200" t="str">
        <f t="shared" si="87"/>
        <v>未婚</v>
      </c>
      <c r="K200" t="str">
        <f>"本科"</f>
        <v>本科</v>
      </c>
      <c r="L200" t="str">
        <f>"学士"</f>
        <v>学士</v>
      </c>
      <c r="M200" t="str">
        <f>"学前教育"</f>
        <v>学前教育</v>
      </c>
      <c r="N200" t="str">
        <f>"贵州师范大学求是学院"</f>
        <v>贵州师范大学求是学院</v>
      </c>
      <c r="O200" t="str">
        <f>"2022.07"</f>
        <v>2022.07</v>
      </c>
      <c r="P200" t="str">
        <f>"本科"</f>
        <v>本科</v>
      </c>
      <c r="Q200" t="str">
        <f>"教育学学位"</f>
        <v>教育学学位</v>
      </c>
      <c r="R200" t="str">
        <f>"学前教育"</f>
        <v>学前教育</v>
      </c>
      <c r="S200" t="str">
        <f>"贵州师范大学求是学院"</f>
        <v>贵州师范大学求是学院</v>
      </c>
      <c r="T200" t="str">
        <f>"2022.07"</f>
        <v>2022.07</v>
      </c>
      <c r="U200" t="str">
        <f>"幼儿园教师资格证"</f>
        <v>幼儿园教师资格证</v>
      </c>
      <c r="V200" t="str">
        <f>"半年"</f>
        <v>半年</v>
      </c>
      <c r="W200" t="str">
        <f t="shared" si="85"/>
        <v>无</v>
      </c>
      <c r="X200" t="str">
        <f t="shared" si="78"/>
        <v>是</v>
      </c>
      <c r="Y200" t="str">
        <f>"暂无"</f>
        <v>暂无</v>
      </c>
      <c r="Z200" t="str">
        <f>"15178193881"</f>
        <v>15178193881</v>
      </c>
      <c r="AA200" t="str">
        <f>"安徽省界首市东城街道天安路377号和兴家园"</f>
        <v>安徽省界首市东城街道天安路377号和兴家园</v>
      </c>
      <c r="AB200" s="1" t="str">
        <f>"2015.09-2018.06 安徽省界首中学
2018.09-2022.07 贵州师范大学求是学院社会科学系学前教育专业
2022.09-2022.12 界首市金朝阳幼儿园配班老师
"</f>
        <v>2015.09-2018.06 安徽省界首中学
2018.09-2022.07 贵州师范大学求是学院社会科学系学前教育专业
2022.09-2022.12 界首市金朝阳幼儿园配班老师
</v>
      </c>
      <c r="AC200" t="str">
        <f>"无"</f>
        <v>无</v>
      </c>
      <c r="AD200" t="str">
        <f>"爱好：喜欢手工编织"</f>
        <v>爱好：喜欢手工编织</v>
      </c>
      <c r="AE200" t="str">
        <f>"父女|张东涛|界首市东城街道聚源宾馆|个体户|母女|胡玉美|无|无||||"</f>
        <v>父女|张东涛|界首市东城街道聚源宾馆|个体户|母女|胡玉美|无|无||||</v>
      </c>
      <c r="AF200" s="2">
        <v>44987.49637731481</v>
      </c>
      <c r="AG200">
        <v>1</v>
      </c>
      <c r="AH200">
        <v>1</v>
      </c>
      <c r="AI200">
        <v>0</v>
      </c>
      <c r="AJ200" t="s">
        <v>241</v>
      </c>
      <c r="AK200" s="4" t="s">
        <v>264</v>
      </c>
      <c r="AL200" s="4" t="s">
        <v>264</v>
      </c>
      <c r="AM200" s="4" t="s">
        <v>264</v>
      </c>
      <c r="AN200">
        <v>0</v>
      </c>
    </row>
    <row r="201" spans="1:40" ht="18" customHeight="1">
      <c r="A201" t="str">
        <f>"141720230301234039340867"</f>
        <v>141720230301234039340867</v>
      </c>
      <c r="B201" t="s">
        <v>44</v>
      </c>
      <c r="C201" t="str">
        <f>"王静"</f>
        <v>王静</v>
      </c>
      <c r="D201" t="str">
        <f t="shared" si="80"/>
        <v>女</v>
      </c>
      <c r="E201" t="str">
        <f>"1998-01"</f>
        <v>1998-01</v>
      </c>
      <c r="F201" t="str">
        <f>"安徽巢湖"</f>
        <v>安徽巢湖</v>
      </c>
      <c r="G201" t="str">
        <f t="shared" si="81"/>
        <v>汉族</v>
      </c>
      <c r="H201" t="str">
        <f t="shared" si="86"/>
        <v>共青团员</v>
      </c>
      <c r="I201" t="str">
        <f>"342601199801201823"</f>
        <v>342601199801201823</v>
      </c>
      <c r="J201" t="str">
        <f t="shared" si="87"/>
        <v>未婚</v>
      </c>
      <c r="K201" t="str">
        <f>"本科"</f>
        <v>本科</v>
      </c>
      <c r="L201" t="str">
        <f>"学士"</f>
        <v>学士</v>
      </c>
      <c r="M201" t="str">
        <f>"学前教育"</f>
        <v>学前教育</v>
      </c>
      <c r="N201" t="str">
        <f>"滁州学院"</f>
        <v>滁州学院</v>
      </c>
      <c r="O201" t="str">
        <f>"2021-7"</f>
        <v>2021-7</v>
      </c>
      <c r="P201" t="str">
        <f>"本科"</f>
        <v>本科</v>
      </c>
      <c r="Q201" t="str">
        <f>"学士"</f>
        <v>学士</v>
      </c>
      <c r="R201" t="str">
        <f>"学前教育"</f>
        <v>学前教育</v>
      </c>
      <c r="S201" t="str">
        <f>"滁州学院"</f>
        <v>滁州学院</v>
      </c>
      <c r="T201" t="str">
        <f>"2021-7"</f>
        <v>2021-7</v>
      </c>
      <c r="U201" t="str">
        <f>"幼儿园教师资格证"</f>
        <v>幼儿园教师资格证</v>
      </c>
      <c r="V201" t="str">
        <f>"2"</f>
        <v>2</v>
      </c>
      <c r="W201" t="str">
        <f>"幼儿园二级职称"</f>
        <v>幼儿园二级职称</v>
      </c>
      <c r="X201" t="str">
        <f t="shared" si="78"/>
        <v>是</v>
      </c>
      <c r="Y201" t="str">
        <f>"无"</f>
        <v>无</v>
      </c>
      <c r="Z201" t="str">
        <f>"17856009011"</f>
        <v>17856009011</v>
      </c>
      <c r="AA201" t="str">
        <f>"合肥市瑶海区信地藏龙阁"</f>
        <v>合肥市瑶海区信地藏龙阁</v>
      </c>
      <c r="AB201" s="1" t="str">
        <f>"2013.9-2017.6马鞍山幼儿师范学校 学生
2017.9-2021.6滁州学院 学生
2021.9-2023.1合肥市滨湖启明星幼儿园 员工"</f>
        <v>2013.9-2017.6马鞍山幼儿师范学校 学生
2017.9-2021.6滁州学院 学生
2021.9-2023.1合肥市滨湖启明星幼儿园 员工</v>
      </c>
      <c r="AC201" t="str">
        <f>"三等奖学金"</f>
        <v>三等奖学金</v>
      </c>
      <c r="AD201" t="str">
        <f>"美术、手工"</f>
        <v>美术、手工</v>
      </c>
      <c r="AE201" t="str">
        <f>"父女|王立功|苏州盛泽镇黄家溪|务农||||||||"</f>
        <v>父女|王立功|苏州盛泽镇黄家溪|务农||||||||</v>
      </c>
      <c r="AF201" s="2">
        <v>44987.3928125</v>
      </c>
      <c r="AG201">
        <v>1</v>
      </c>
      <c r="AH201">
        <v>1</v>
      </c>
      <c r="AI201">
        <v>0</v>
      </c>
      <c r="AJ201" t="s">
        <v>242</v>
      </c>
      <c r="AK201" s="4" t="s">
        <v>264</v>
      </c>
      <c r="AL201" s="4" t="s">
        <v>264</v>
      </c>
      <c r="AM201" s="4" t="s">
        <v>264</v>
      </c>
      <c r="AN201">
        <v>0</v>
      </c>
    </row>
    <row r="202" spans="1:40" ht="18" customHeight="1">
      <c r="A202" t="str">
        <f>"141720230302003240340870"</f>
        <v>141720230302003240340870</v>
      </c>
      <c r="B202" t="s">
        <v>44</v>
      </c>
      <c r="C202" t="str">
        <f>"刘敏"</f>
        <v>刘敏</v>
      </c>
      <c r="D202" t="str">
        <f t="shared" si="80"/>
        <v>女</v>
      </c>
      <c r="E202" t="str">
        <f>"2003.10.14"</f>
        <v>2003.10.14</v>
      </c>
      <c r="F202" t="str">
        <f>"安徽省滁州市"</f>
        <v>安徽省滁州市</v>
      </c>
      <c r="G202" t="str">
        <f t="shared" si="81"/>
        <v>汉族</v>
      </c>
      <c r="H202" t="str">
        <f>"群众"</f>
        <v>群众</v>
      </c>
      <c r="I202" t="str">
        <f>"341124200310145021"</f>
        <v>341124200310145021</v>
      </c>
      <c r="J202" t="str">
        <f t="shared" si="87"/>
        <v>未婚</v>
      </c>
      <c r="K202" t="str">
        <f>"大专"</f>
        <v>大专</v>
      </c>
      <c r="L202" t="str">
        <f>"大专"</f>
        <v>大专</v>
      </c>
      <c r="M202" t="str">
        <f>"学前教育"</f>
        <v>学前教育</v>
      </c>
      <c r="N202" t="str">
        <f>"滁州城市职业学院"</f>
        <v>滁州城市职业学院</v>
      </c>
      <c r="O202" t="str">
        <f>"2021.7"</f>
        <v>2021.7</v>
      </c>
      <c r="P202" t="str">
        <f>"中专"</f>
        <v>中专</v>
      </c>
      <c r="Q202" t="str">
        <f>"中专"</f>
        <v>中专</v>
      </c>
      <c r="R202" t="str">
        <f>"社会与文化艺术"</f>
        <v>社会与文化艺术</v>
      </c>
      <c r="S202" t="str">
        <f>"合肥理工学校"</f>
        <v>合肥理工学校</v>
      </c>
      <c r="T202" t="str">
        <f>"2020.7"</f>
        <v>2020.7</v>
      </c>
      <c r="U202" t="str">
        <f>"教师资格证、普通话证书、育婴员证书、舞蹈证书"</f>
        <v>教师资格证、普通话证书、育婴员证书、舞蹈证书</v>
      </c>
      <c r="V202" t="str">
        <f>"2020年9月参加工作至今"</f>
        <v>2020年9月参加工作至今</v>
      </c>
      <c r="W202" t="str">
        <f>"无"</f>
        <v>无</v>
      </c>
      <c r="X202" t="str">
        <f t="shared" si="78"/>
        <v>是</v>
      </c>
      <c r="Y202" t="str">
        <f>"合肥市瑶海区新世纪天锦苑幼儿园"</f>
        <v>合肥市瑶海区新世纪天锦苑幼儿园</v>
      </c>
      <c r="Z202" t="str">
        <f>"13275609356"</f>
        <v>13275609356</v>
      </c>
      <c r="AA202" t="str">
        <f>"合肥市瑶海区高速静安春晖里"</f>
        <v>合肥市瑶海区高速静安春晖里</v>
      </c>
      <c r="AB202" s="1" t="str">
        <f>"2018.9—2020.7合肥理工
2019.3—2021.7滁州城市职业学院
2021.9—至今 新世纪天锦苑幼儿园员工"</f>
        <v>2018.9—2020.7合肥理工
2019.3—2021.7滁州城市职业学院
2021.9—至今 新世纪天锦苑幼儿园员工</v>
      </c>
      <c r="AC202" t="str">
        <f aca="true" t="shared" si="88" ref="AC202:AC207">"无"</f>
        <v>无</v>
      </c>
      <c r="AD202" s="1" t="str">
        <f>"特长：讲故事 手工作品
爱好：热爱幼儿教育事业，喜欢和小孩交流沟通起来"</f>
        <v>特长：讲故事 手工作品
爱好：热爱幼儿教育事业，喜欢和小孩交流沟通起来</v>
      </c>
      <c r="AE202" t="str">
        <f>"爸爸|刘青华|自由职业||妈妈|童宗琴|自由职业|||||"</f>
        <v>爸爸|刘青华|自由职业||妈妈|童宗琴|自由职业|||||</v>
      </c>
      <c r="AF202" s="2">
        <v>44987.392534722225</v>
      </c>
      <c r="AG202">
        <v>1</v>
      </c>
      <c r="AH202">
        <v>1</v>
      </c>
      <c r="AI202">
        <v>0</v>
      </c>
      <c r="AJ202" t="s">
        <v>243</v>
      </c>
      <c r="AK202" s="4">
        <v>59.7</v>
      </c>
      <c r="AL202" s="4">
        <v>56.4</v>
      </c>
      <c r="AM202" s="4">
        <v>58.05</v>
      </c>
      <c r="AN202">
        <v>0</v>
      </c>
    </row>
    <row r="203" spans="1:40" ht="18" customHeight="1">
      <c r="A203" t="str">
        <f>"141720230302090154340874"</f>
        <v>141720230302090154340874</v>
      </c>
      <c r="B203" t="s">
        <v>44</v>
      </c>
      <c r="C203" t="str">
        <f>"李琳"</f>
        <v>李琳</v>
      </c>
      <c r="D203" t="str">
        <f t="shared" si="80"/>
        <v>女</v>
      </c>
      <c r="E203" t="str">
        <f>"1996-8"</f>
        <v>1996-8</v>
      </c>
      <c r="F203" t="str">
        <f>"安徽庐阳区"</f>
        <v>安徽庐阳区</v>
      </c>
      <c r="G203" t="str">
        <f t="shared" si="81"/>
        <v>汉族</v>
      </c>
      <c r="H203" t="str">
        <f>"共青团员"</f>
        <v>共青团员</v>
      </c>
      <c r="I203" t="str">
        <f>"340103199608300524"</f>
        <v>340103199608300524</v>
      </c>
      <c r="J203" t="str">
        <f t="shared" si="87"/>
        <v>未婚</v>
      </c>
      <c r="K203" t="str">
        <f>"本科"</f>
        <v>本科</v>
      </c>
      <c r="L203" t="str">
        <f>"无"</f>
        <v>无</v>
      </c>
      <c r="M203" t="str">
        <f>"教育学"</f>
        <v>教育学</v>
      </c>
      <c r="N203" t="str">
        <f>"安徽师范大学"</f>
        <v>安徽师范大学</v>
      </c>
      <c r="O203" t="str">
        <f>"2022.7"</f>
        <v>2022.7</v>
      </c>
      <c r="P203" t="str">
        <f>"专科"</f>
        <v>专科</v>
      </c>
      <c r="Q203" t="str">
        <f>"无"</f>
        <v>无</v>
      </c>
      <c r="R203" t="str">
        <f>"学前教育"</f>
        <v>学前教育</v>
      </c>
      <c r="S203" t="str">
        <f>"合肥幼儿师范高等专科学校"</f>
        <v>合肥幼儿师范高等专科学校</v>
      </c>
      <c r="T203" t="str">
        <f>"2016.7"</f>
        <v>2016.7</v>
      </c>
      <c r="U203" t="str">
        <f>"有"</f>
        <v>有</v>
      </c>
      <c r="V203" t="str">
        <f>"3"</f>
        <v>3</v>
      </c>
      <c r="W203" t="str">
        <f>"三级教师"</f>
        <v>三级教师</v>
      </c>
      <c r="X203" t="str">
        <f t="shared" si="78"/>
        <v>是</v>
      </c>
      <c r="Y203" t="str">
        <f>"合肥童话教育"</f>
        <v>合肥童话教育</v>
      </c>
      <c r="Z203" t="str">
        <f>"18119998450"</f>
        <v>18119998450</v>
      </c>
      <c r="AA203" t="str">
        <f>"合肥市北含山路义仓巷3栋103"</f>
        <v>合肥市北含山路义仓巷3栋103</v>
      </c>
      <c r="AB203" s="1" t="str">
        <f>"2011.9-2016.7  合肥幼儿师范高等专科学校  学生
2016.8-2019.8  合肥国贸公寓幼儿园  员工
2019.9-至今    合肥童话教育  员工
"</f>
        <v>2011.9-2016.7  合肥幼儿师范高等专科学校  学生
2016.8-2019.8  合肥国贸公寓幼儿园  员工
2019.9-至今    合肥童话教育  员工
</v>
      </c>
      <c r="AC203" t="str">
        <f t="shared" si="88"/>
        <v>无</v>
      </c>
      <c r="AD203" t="str">
        <f>"绘画  手工  "</f>
        <v>绘画  手工  </v>
      </c>
      <c r="AE203" t="str">
        <f>"妈妈|李静|无|无|爸爸|曾慎兵|无|无||||"</f>
        <v>妈妈|李静|无|无|爸爸|曾慎兵|无|无||||</v>
      </c>
      <c r="AF203" s="2">
        <v>44987.58409722222</v>
      </c>
      <c r="AG203">
        <v>1</v>
      </c>
      <c r="AH203">
        <v>1</v>
      </c>
      <c r="AI203">
        <v>0</v>
      </c>
      <c r="AJ203" t="s">
        <v>244</v>
      </c>
      <c r="AK203" s="4">
        <v>72.7</v>
      </c>
      <c r="AL203" s="4">
        <v>66.8</v>
      </c>
      <c r="AM203" s="4">
        <v>69.75</v>
      </c>
      <c r="AN203">
        <v>0</v>
      </c>
    </row>
    <row r="204" spans="1:40" ht="18" customHeight="1">
      <c r="A204" t="str">
        <f>"141720230302090404340875"</f>
        <v>141720230302090404340875</v>
      </c>
      <c r="B204" t="s">
        <v>44</v>
      </c>
      <c r="C204" t="str">
        <f>"岳玉洁"</f>
        <v>岳玉洁</v>
      </c>
      <c r="D204" t="str">
        <f t="shared" si="80"/>
        <v>女</v>
      </c>
      <c r="E204" t="str">
        <f>"1998-9"</f>
        <v>1998-9</v>
      </c>
      <c r="F204" t="str">
        <f>"安徽省淮南市田家庵区"</f>
        <v>安徽省淮南市田家庵区</v>
      </c>
      <c r="G204" t="str">
        <f t="shared" si="81"/>
        <v>汉族</v>
      </c>
      <c r="H204" t="str">
        <f>"共青团员"</f>
        <v>共青团员</v>
      </c>
      <c r="I204" t="str">
        <f>"340403199809081424"</f>
        <v>340403199809081424</v>
      </c>
      <c r="J204" t="str">
        <f t="shared" si="87"/>
        <v>未婚</v>
      </c>
      <c r="K204" t="str">
        <f>"本科"</f>
        <v>本科</v>
      </c>
      <c r="L204" t="str">
        <f>"学士"</f>
        <v>学士</v>
      </c>
      <c r="M204" t="str">
        <f>"学前教育"</f>
        <v>学前教育</v>
      </c>
      <c r="N204" t="str">
        <f>"合肥师范学院"</f>
        <v>合肥师范学院</v>
      </c>
      <c r="O204" t="str">
        <f>"2021.07"</f>
        <v>2021.07</v>
      </c>
      <c r="P204" t="str">
        <f>"本科"</f>
        <v>本科</v>
      </c>
      <c r="Q204" t="str">
        <f>"学士"</f>
        <v>学士</v>
      </c>
      <c r="R204" t="str">
        <f>"学前教育"</f>
        <v>学前教育</v>
      </c>
      <c r="S204" t="str">
        <f>"合肥师范学院"</f>
        <v>合肥师范学院</v>
      </c>
      <c r="T204" t="str">
        <f>"2021.07"</f>
        <v>2021.07</v>
      </c>
      <c r="U204" t="str">
        <f>"幼儿教师资格证，普通话二甲"</f>
        <v>幼儿教师资格证，普通话二甲</v>
      </c>
      <c r="V204" t="str">
        <f>"1年"</f>
        <v>1年</v>
      </c>
      <c r="W204" t="str">
        <f aca="true" t="shared" si="89" ref="W204:W212">"无"</f>
        <v>无</v>
      </c>
      <c r="X204" t="str">
        <f t="shared" si="78"/>
        <v>是</v>
      </c>
      <c r="Y204" t="str">
        <f>"无"</f>
        <v>无</v>
      </c>
      <c r="Z204" t="str">
        <f>"18155475122"</f>
        <v>18155475122</v>
      </c>
      <c r="AA204" t="str">
        <f>"安徽省淮南市田家庵区洞山团结巷"</f>
        <v>安徽省淮南市田家庵区洞山团结巷</v>
      </c>
      <c r="AB204" s="1" t="str">
        <f>"2014.09-2016.07淮南市第二中学
2017.09-2021.07合肥师范学院
2022.03-2023.01合肥市湖南路幼儿园"</f>
        <v>2014.09-2016.07淮南市第二中学
2017.09-2021.07合肥师范学院
2022.03-2023.01合肥市湖南路幼儿园</v>
      </c>
      <c r="AC204" t="str">
        <f t="shared" si="88"/>
        <v>无</v>
      </c>
      <c r="AD204" t="str">
        <f>"无"</f>
        <v>无</v>
      </c>
      <c r="AE204" t="str">
        <f>"父女|岳强|农业银行|部门经理|母女|王淑霞|通商银行|经理||||"</f>
        <v>父女|岳强|农业银行|部门经理|母女|王淑霞|通商银行|经理||||</v>
      </c>
      <c r="AF204" s="2">
        <v>44987.39225694445</v>
      </c>
      <c r="AG204">
        <v>1</v>
      </c>
      <c r="AH204">
        <v>1</v>
      </c>
      <c r="AI204">
        <v>0</v>
      </c>
      <c r="AJ204" t="s">
        <v>245</v>
      </c>
      <c r="AK204" s="4" t="s">
        <v>264</v>
      </c>
      <c r="AL204" s="4" t="s">
        <v>264</v>
      </c>
      <c r="AM204" s="4" t="s">
        <v>264</v>
      </c>
      <c r="AN204">
        <v>0</v>
      </c>
    </row>
    <row r="205" spans="1:40" ht="18" customHeight="1">
      <c r="A205" t="str">
        <f>"141720230302092415340877"</f>
        <v>141720230302092415340877</v>
      </c>
      <c r="B205" t="s">
        <v>44</v>
      </c>
      <c r="C205" t="str">
        <f>"甘玉青"</f>
        <v>甘玉青</v>
      </c>
      <c r="D205" t="str">
        <f t="shared" si="80"/>
        <v>女</v>
      </c>
      <c r="E205" t="str">
        <f>"1999-03"</f>
        <v>1999-03</v>
      </c>
      <c r="F205" t="str">
        <f>"安徽东至县"</f>
        <v>安徽东至县</v>
      </c>
      <c r="G205" t="str">
        <f t="shared" si="81"/>
        <v>汉族</v>
      </c>
      <c r="H205" t="str">
        <f>"共青团员"</f>
        <v>共青团员</v>
      </c>
      <c r="I205" t="str">
        <f>"342921199903044322"</f>
        <v>342921199903044322</v>
      </c>
      <c r="J205" t="str">
        <f t="shared" si="87"/>
        <v>未婚</v>
      </c>
      <c r="K205" t="str">
        <f>"本科"</f>
        <v>本科</v>
      </c>
      <c r="L205" t="str">
        <f>"学士"</f>
        <v>学士</v>
      </c>
      <c r="M205" t="str">
        <f>"学前教育"</f>
        <v>学前教育</v>
      </c>
      <c r="N205" t="str">
        <f>"郑州工业应用技术学院"</f>
        <v>郑州工业应用技术学院</v>
      </c>
      <c r="O205" t="str">
        <f>"2022.07"</f>
        <v>2022.07</v>
      </c>
      <c r="P205" t="str">
        <f>"本科"</f>
        <v>本科</v>
      </c>
      <c r="Q205" t="str">
        <f>"学士"</f>
        <v>学士</v>
      </c>
      <c r="R205" t="str">
        <f>"学前教育"</f>
        <v>学前教育</v>
      </c>
      <c r="S205" t="str">
        <f>"郑州工业应用技术学院"</f>
        <v>郑州工业应用技术学院</v>
      </c>
      <c r="T205" t="str">
        <f>"2022-07"</f>
        <v>2022-07</v>
      </c>
      <c r="U205" t="str">
        <f>"幼儿园教师资格证"</f>
        <v>幼儿园教师资格证</v>
      </c>
      <c r="V205" t="str">
        <f>"无"</f>
        <v>无</v>
      </c>
      <c r="W205" t="str">
        <f t="shared" si="89"/>
        <v>无</v>
      </c>
      <c r="X205" t="str">
        <f t="shared" si="78"/>
        <v>是</v>
      </c>
      <c r="Y205" t="str">
        <f>"无"</f>
        <v>无</v>
      </c>
      <c r="Z205" t="str">
        <f>"13399665219"</f>
        <v>13399665219</v>
      </c>
      <c r="AA205" t="str">
        <f>"安徽省池州市东至县胜利镇瓦垅村瓦垅街道"</f>
        <v>安徽省池州市东至县胜利镇瓦垅村瓦垅街道</v>
      </c>
      <c r="AB205" s="1" t="str">
        <f>"2014.09-2017.06 安徽省大渡口中学 学生
2017.09-2018.06 安徽省东至县第三中学 学生
2018.09-2022.07 郑州工业应用技术学院音乐学院学前教育专业 学生
"</f>
        <v>2014.09-2017.06 安徽省大渡口中学 学生
2017.09-2018.06 安徽省东至县第三中学 学生
2018.09-2022.07 郑州工业应用技术学院音乐学院学前教育专业 学生
</v>
      </c>
      <c r="AC205" t="str">
        <f t="shared" si="88"/>
        <v>无</v>
      </c>
      <c r="AD205" t="str">
        <f>"阅读写作"</f>
        <v>阅读写作</v>
      </c>
      <c r="AE205" t="str">
        <f>"父女|甘北乔|安徽省东至县第三人民医院|医生|母女|周向霞|安徽省东至县胜利镇瓦垅村卫生室|医生||||"</f>
        <v>父女|甘北乔|安徽省东至县第三人民医院|医生|母女|周向霞|安徽省东至县胜利镇瓦垅村卫生室|医生||||</v>
      </c>
      <c r="AF205" s="2">
        <v>44987.495520833334</v>
      </c>
      <c r="AG205">
        <v>1</v>
      </c>
      <c r="AH205">
        <v>1</v>
      </c>
      <c r="AI205">
        <v>0</v>
      </c>
      <c r="AJ205" t="s">
        <v>246</v>
      </c>
      <c r="AK205" s="4" t="s">
        <v>264</v>
      </c>
      <c r="AL205" s="4" t="s">
        <v>264</v>
      </c>
      <c r="AM205" s="4" t="s">
        <v>264</v>
      </c>
      <c r="AN205">
        <v>0</v>
      </c>
    </row>
    <row r="206" spans="1:40" ht="18" customHeight="1">
      <c r="A206" t="str">
        <f>"141720230302095017340881"</f>
        <v>141720230302095017340881</v>
      </c>
      <c r="B206" t="s">
        <v>44</v>
      </c>
      <c r="C206" t="str">
        <f>"韩菲"</f>
        <v>韩菲</v>
      </c>
      <c r="D206" t="str">
        <f t="shared" si="80"/>
        <v>女</v>
      </c>
      <c r="E206" t="str">
        <f>"1987-08"</f>
        <v>1987-08</v>
      </c>
      <c r="F206" t="str">
        <f>"安徽包河区"</f>
        <v>安徽包河区</v>
      </c>
      <c r="G206" t="str">
        <f t="shared" si="81"/>
        <v>汉族</v>
      </c>
      <c r="H206" t="str">
        <f>"群众"</f>
        <v>群众</v>
      </c>
      <c r="I206" t="str">
        <f>"342425198708050026"</f>
        <v>342425198708050026</v>
      </c>
      <c r="J206" t="str">
        <f>"已婚"</f>
        <v>已婚</v>
      </c>
      <c r="K206" t="str">
        <f>"本科"</f>
        <v>本科</v>
      </c>
      <c r="L206" t="str">
        <f>"无"</f>
        <v>无</v>
      </c>
      <c r="M206" t="str">
        <f>"学前教育"</f>
        <v>学前教育</v>
      </c>
      <c r="N206" t="str">
        <f>"合肥师范学院"</f>
        <v>合肥师范学院</v>
      </c>
      <c r="O206" t="str">
        <f>"2020-07-01"</f>
        <v>2020-07-01</v>
      </c>
      <c r="P206" t="str">
        <f>"大专"</f>
        <v>大专</v>
      </c>
      <c r="Q206" t="str">
        <f>"无"</f>
        <v>无</v>
      </c>
      <c r="R206" t="str">
        <f>"商务英语"</f>
        <v>商务英语</v>
      </c>
      <c r="S206" t="str">
        <f>"安徽工商学院"</f>
        <v>安徽工商学院</v>
      </c>
      <c r="T206" t="str">
        <f>"2008-07-01"</f>
        <v>2008-07-01</v>
      </c>
      <c r="U206" t="str">
        <f>"幼儿园教师资格"</f>
        <v>幼儿园教师资格</v>
      </c>
      <c r="V206" t="str">
        <f>"2"</f>
        <v>2</v>
      </c>
      <c r="W206" t="str">
        <f t="shared" si="89"/>
        <v>无</v>
      </c>
      <c r="X206" t="str">
        <f t="shared" si="78"/>
        <v>是</v>
      </c>
      <c r="Y206" t="str">
        <f>"无"</f>
        <v>无</v>
      </c>
      <c r="Z206" t="str">
        <f>"15156877686"</f>
        <v>15156877686</v>
      </c>
      <c r="AA206" t="str">
        <f>"包河区云谷路东方蓝海小区"</f>
        <v>包河区云谷路东方蓝海小区</v>
      </c>
      <c r="AB206" s="1" t="str">
        <f>"2002-2005 舒城中学 高中
2005-2008 安徽工商学院 大专
2010-2016 新星小学  教师 
2017-2020 合肥师范学院 学生
2020-2022 合肥市湖南路幼儿园 幼儿教师
"</f>
        <v>2002-2005 舒城中学 高中
2005-2008 安徽工商学院 大专
2010-2016 新星小学  教师 
2017-2020 合肥师范学院 学生
2020-2022 合肥市湖南路幼儿园 幼儿教师
</v>
      </c>
      <c r="AC206" t="str">
        <f t="shared" si="88"/>
        <v>无</v>
      </c>
      <c r="AD206" t="str">
        <f>"书法"</f>
        <v>书法</v>
      </c>
      <c r="AE206" t="str">
        <f>"丈夫|孙欢|华鹏造价|工程师|子女|孙睿禾|无|无||||"</f>
        <v>丈夫|孙欢|华鹏造价|工程师|子女|孙睿禾|无|无||||</v>
      </c>
      <c r="AF206" s="2">
        <v>44988.62296296296</v>
      </c>
      <c r="AG206">
        <v>1</v>
      </c>
      <c r="AH206">
        <v>1</v>
      </c>
      <c r="AI206">
        <v>0</v>
      </c>
      <c r="AJ206" t="s">
        <v>247</v>
      </c>
      <c r="AK206" s="4">
        <v>67</v>
      </c>
      <c r="AL206" s="4">
        <v>63.1</v>
      </c>
      <c r="AM206" s="4">
        <v>65.05</v>
      </c>
      <c r="AN206">
        <v>0</v>
      </c>
    </row>
    <row r="207" spans="1:40" ht="18" customHeight="1">
      <c r="A207" t="str">
        <f>"141720230302095734340882"</f>
        <v>141720230302095734340882</v>
      </c>
      <c r="B207" t="s">
        <v>44</v>
      </c>
      <c r="C207" t="str">
        <f>"赵标"</f>
        <v>赵标</v>
      </c>
      <c r="D207" t="str">
        <f>"男"</f>
        <v>男</v>
      </c>
      <c r="E207" t="str">
        <f>"1991-08"</f>
        <v>1991-08</v>
      </c>
      <c r="F207" t="str">
        <f>"安徽庐江县"</f>
        <v>安徽庐江县</v>
      </c>
      <c r="G207" t="str">
        <f t="shared" si="81"/>
        <v>汉族</v>
      </c>
      <c r="H207" t="str">
        <f>"群众"</f>
        <v>群众</v>
      </c>
      <c r="I207" t="str">
        <f>"342622199108250231"</f>
        <v>342622199108250231</v>
      </c>
      <c r="J207" t="str">
        <f>"已婚"</f>
        <v>已婚</v>
      </c>
      <c r="K207" t="str">
        <f>"大学本科"</f>
        <v>大学本科</v>
      </c>
      <c r="L207" t="str">
        <f>"无"</f>
        <v>无</v>
      </c>
      <c r="M207" t="str">
        <f>"金融学"</f>
        <v>金融学</v>
      </c>
      <c r="N207" t="str">
        <f>"吉林大学"</f>
        <v>吉林大学</v>
      </c>
      <c r="O207" t="str">
        <f>"2020-01"</f>
        <v>2020-01</v>
      </c>
      <c r="P207" t="str">
        <f>"大专"</f>
        <v>大专</v>
      </c>
      <c r="Q207" t="str">
        <f>"无"</f>
        <v>无</v>
      </c>
      <c r="R207" t="str">
        <f aca="true" t="shared" si="90" ref="R207:R217">"学前教育"</f>
        <v>学前教育</v>
      </c>
      <c r="S207" t="str">
        <f>"马鞍山师范高等专科学校"</f>
        <v>马鞍山师范高等专科学校</v>
      </c>
      <c r="T207" t="str">
        <f>"2013-07"</f>
        <v>2013-07</v>
      </c>
      <c r="U207" t="str">
        <f>"幼儿园教师资格证"</f>
        <v>幼儿园教师资格证</v>
      </c>
      <c r="V207" t="str">
        <f>"3年"</f>
        <v>3年</v>
      </c>
      <c r="W207" t="str">
        <f t="shared" si="89"/>
        <v>无</v>
      </c>
      <c r="X207" t="str">
        <f t="shared" si="78"/>
        <v>是</v>
      </c>
      <c r="Y207" t="str">
        <f>"中国邮政集团有限公司安徽省庐江县分公司"</f>
        <v>中国邮政集团有限公司安徽省庐江县分公司</v>
      </c>
      <c r="Z207" t="str">
        <f>"13956613495"</f>
        <v>13956613495</v>
      </c>
      <c r="AA207" t="str">
        <f>"合肥市庐江县庐城镇军二中路周公巷4号"</f>
        <v>合肥市庐江县庐城镇军二中路周公巷4号</v>
      </c>
      <c r="AB207" s="1" t="str">
        <f>"2011.9-2013.7 马鞍山师范高等专科学校 学生
2013.9-2014.8 上海行知幼儿园 教师
2014.9-2016.7 杭州笕桥第三幼儿园 教师
2017.3-2020.1 吉林大学 学生
2016.8-至今 中国邮政集团有限公司安徽省庐江县分公司 员工
"</f>
        <v>2011.9-2013.7 马鞍山师范高等专科学校 学生
2013.9-2014.8 上海行知幼儿园 教师
2014.9-2016.7 杭州笕桥第三幼儿园 教师
2017.3-2020.1 吉林大学 学生
2016.8-至今 中国邮政集团有限公司安徽省庐江县分公司 员工
</v>
      </c>
      <c r="AC207" t="str">
        <f t="shared" si="88"/>
        <v>无</v>
      </c>
      <c r="AD207" t="str">
        <f>"普通话"</f>
        <v>普通话</v>
      </c>
      <c r="AE207" t="str">
        <f>"妻子|邢星|庐江县幼儿教育集团望湖城幼儿园|园长||||||||"</f>
        <v>妻子|邢星|庐江县幼儿教育集团望湖城幼儿园|园长||||||||</v>
      </c>
      <c r="AF207" s="2">
        <v>44987.57503472222</v>
      </c>
      <c r="AG207">
        <v>1</v>
      </c>
      <c r="AH207">
        <v>1</v>
      </c>
      <c r="AI207">
        <v>0</v>
      </c>
      <c r="AJ207" t="s">
        <v>248</v>
      </c>
      <c r="AK207" s="4">
        <v>66.6</v>
      </c>
      <c r="AL207" s="4">
        <v>61.3</v>
      </c>
      <c r="AM207" s="4">
        <v>63.95</v>
      </c>
      <c r="AN207">
        <v>0</v>
      </c>
    </row>
    <row r="208" spans="1:40" ht="18" customHeight="1">
      <c r="A208" t="str">
        <f>"141720230302101601340883"</f>
        <v>141720230302101601340883</v>
      </c>
      <c r="B208" t="s">
        <v>44</v>
      </c>
      <c r="C208" t="str">
        <f>"胡梅梅"</f>
        <v>胡梅梅</v>
      </c>
      <c r="D208" t="str">
        <f aca="true" t="shared" si="91" ref="D208:D222">"女"</f>
        <v>女</v>
      </c>
      <c r="E208" t="str">
        <f>"1992-2"</f>
        <v>1992-2</v>
      </c>
      <c r="F208" t="str">
        <f>"安徽合肥"</f>
        <v>安徽合肥</v>
      </c>
      <c r="G208" t="str">
        <f t="shared" si="81"/>
        <v>汉族</v>
      </c>
      <c r="H208" t="str">
        <f>"群众"</f>
        <v>群众</v>
      </c>
      <c r="I208" t="str">
        <f>"341622199202144127"</f>
        <v>341622199202144127</v>
      </c>
      <c r="J208" t="str">
        <f>"已婚"</f>
        <v>已婚</v>
      </c>
      <c r="K208" t="str">
        <f>"本科"</f>
        <v>本科</v>
      </c>
      <c r="L208" t="str">
        <f>"无"</f>
        <v>无</v>
      </c>
      <c r="M208" t="str">
        <f>"初等教育"</f>
        <v>初等教育</v>
      </c>
      <c r="N208" t="str">
        <f>"阜阳师范学院"</f>
        <v>阜阳师范学院</v>
      </c>
      <c r="O208" t="str">
        <f>"2013年7月"</f>
        <v>2013年7月</v>
      </c>
      <c r="P208" t="str">
        <f>"大专"</f>
        <v>大专</v>
      </c>
      <c r="Q208" t="str">
        <f>"无"</f>
        <v>无</v>
      </c>
      <c r="R208" t="str">
        <f t="shared" si="90"/>
        <v>学前教育</v>
      </c>
      <c r="S208" t="str">
        <f>"阜阳师范学院"</f>
        <v>阜阳师范学院</v>
      </c>
      <c r="T208" t="str">
        <f>"2012年6月"</f>
        <v>2012年6月</v>
      </c>
      <c r="U208" t="str">
        <f>"有"</f>
        <v>有</v>
      </c>
      <c r="V208" t="str">
        <f>"9"</f>
        <v>9</v>
      </c>
      <c r="W208" t="str">
        <f t="shared" si="89"/>
        <v>无</v>
      </c>
      <c r="X208" t="str">
        <f t="shared" si="78"/>
        <v>是</v>
      </c>
      <c r="Y208" t="str">
        <f>"合肥市曙光小学"</f>
        <v>合肥市曙光小学</v>
      </c>
      <c r="Z208" t="str">
        <f>"15256011423"</f>
        <v>15256011423</v>
      </c>
      <c r="AA208" t="str">
        <f>"合肥市宿松路检察院宿舍北1栋101"</f>
        <v>合肥市宿松路检察院宿舍北1栋101</v>
      </c>
      <c r="AB208" s="1" t="str">
        <f>"本人2009.9----2012.6年阜阳师范学院学生
2012.6----2013.9香江世纪名城幼儿园
2016.6----2019.9同和民康幼儿园
2022.6至今启明星幼教龙川雅居幼儿园"</f>
        <v>本人2009.9----2012.6年阜阳师范学院学生
2012.6----2013.9香江世纪名城幼儿园
2016.6----2019.9同和民康幼儿园
2022.6至今启明星幼教龙川雅居幼儿园</v>
      </c>
      <c r="AC208" s="1" t="str">
        <f>"2020年所带班级被评为“包河区先进班级”
2020年被评为包河区幼儿园“优秀班主任”"</f>
        <v>2020年所带班级被评为“包河区先进班级”
2020年被评为包河区幼儿园“优秀班主任”</v>
      </c>
      <c r="AD208" t="str">
        <f>"钢琴"</f>
        <v>钢琴</v>
      </c>
      <c r="AE208" t="str">
        <f>"|胡梅梅|合肥市曙光小学|教师|老公|龚华阳|自营|||||"</f>
        <v>|胡梅梅|合肥市曙光小学|教师|老公|龚华阳|自营|||||</v>
      </c>
      <c r="AF208" s="2">
        <v>44987.7046412037</v>
      </c>
      <c r="AG208">
        <v>1</v>
      </c>
      <c r="AH208">
        <v>1</v>
      </c>
      <c r="AI208">
        <v>0</v>
      </c>
      <c r="AJ208" t="s">
        <v>249</v>
      </c>
      <c r="AK208" s="4">
        <v>56</v>
      </c>
      <c r="AL208" s="4">
        <v>52.8</v>
      </c>
      <c r="AM208" s="4">
        <v>54.4</v>
      </c>
      <c r="AN208">
        <v>0</v>
      </c>
    </row>
    <row r="209" spans="1:40" ht="18" customHeight="1">
      <c r="A209" t="str">
        <f>"141720230302112746340890"</f>
        <v>141720230302112746340890</v>
      </c>
      <c r="B209" t="s">
        <v>44</v>
      </c>
      <c r="C209" t="str">
        <f>"章娉"</f>
        <v>章娉</v>
      </c>
      <c r="D209" t="str">
        <f t="shared" si="91"/>
        <v>女</v>
      </c>
      <c r="E209" t="str">
        <f>"2000-03"</f>
        <v>2000-03</v>
      </c>
      <c r="F209" t="str">
        <f>"安徽宣城市"</f>
        <v>安徽宣城市</v>
      </c>
      <c r="G209" t="str">
        <f t="shared" si="81"/>
        <v>汉族</v>
      </c>
      <c r="H209" t="str">
        <f aca="true" t="shared" si="92" ref="H209:H215">"共青团员"</f>
        <v>共青团员</v>
      </c>
      <c r="I209" t="str">
        <f>"342529200003256228"</f>
        <v>342529200003256228</v>
      </c>
      <c r="J209" t="str">
        <f>"未婚"</f>
        <v>未婚</v>
      </c>
      <c r="K209" t="str">
        <f>"大专"</f>
        <v>大专</v>
      </c>
      <c r="L209" t="str">
        <f>"无"</f>
        <v>无</v>
      </c>
      <c r="M209" t="str">
        <f aca="true" t="shared" si="93" ref="M209:M217">"学前教育"</f>
        <v>学前教育</v>
      </c>
      <c r="N209" t="str">
        <f>"池州职业技术学院"</f>
        <v>池州职业技术学院</v>
      </c>
      <c r="O209" t="str">
        <f>"2021-07"</f>
        <v>2021-07</v>
      </c>
      <c r="P209" t="str">
        <f>"本科"</f>
        <v>本科</v>
      </c>
      <c r="Q209" t="str">
        <f>"学士"</f>
        <v>学士</v>
      </c>
      <c r="R209" t="str">
        <f t="shared" si="90"/>
        <v>学前教育</v>
      </c>
      <c r="S209" t="str">
        <f>"合肥学院"</f>
        <v>合肥学院</v>
      </c>
      <c r="T209" t="str">
        <f>"2023-07"</f>
        <v>2023-07</v>
      </c>
      <c r="U209" t="str">
        <f>"幼儿教师资格证书 小学语文教师资格证书 普通话二级甲等证书 大学英语四级证书"</f>
        <v>幼儿教师资格证书 小学语文教师资格证书 普通话二级甲等证书 大学英语四级证书</v>
      </c>
      <c r="V209" t="str">
        <f>"无"</f>
        <v>无</v>
      </c>
      <c r="W209" t="str">
        <f t="shared" si="89"/>
        <v>无</v>
      </c>
      <c r="X209" t="str">
        <f t="shared" si="78"/>
        <v>是</v>
      </c>
      <c r="Y209" t="str">
        <f>"无"</f>
        <v>无</v>
      </c>
      <c r="Z209" t="str">
        <f>"18456355002"</f>
        <v>18456355002</v>
      </c>
      <c r="AA209" t="str">
        <f>"安徽省合肥市蜀山区锦绣大道99号合肥学院"</f>
        <v>安徽省合肥市蜀山区锦绣大道99号合肥学院</v>
      </c>
      <c r="AB209" s="1" t="str">
        <f>"2015.7-2018.7    泾县第二中学     学生
2018.9-2021.7    池州职业技术学院 学生
2021.9-2023.至今 合肥学院         学生
"</f>
        <v>2015.7-2018.7    泾县第二中学     学生
2018.9-2021.7    池州职业技术学院 学生
2021.9-2023.至今 合肥学院         学生
</v>
      </c>
      <c r="AC209" s="1" t="str">
        <f>"2019年11月获得国家励志奖学金
2019年12月获得三好学生称号
2019年获得优秀共青团员称号
2019年获得全国大学生英语竞赛D类二等奖
"</f>
        <v>2019年11月获得国家励志奖学金
2019年12月获得三好学生称号
2019年获得优秀共青团员称号
2019年获得全国大学生英语竞赛D类二等奖
</v>
      </c>
      <c r="AD209" t="str">
        <f>"唱歌、跳舞、运动"</f>
        <v>唱歌、跳舞、运动</v>
      </c>
      <c r="AE209" t="str">
        <f>"父女|章祥雨|务农|农民|母女|章双红|务农|农民||||"</f>
        <v>父女|章祥雨|务农|农民|母女|章双红|务农|农民||||</v>
      </c>
      <c r="AF209" s="2">
        <v>44987.49717592593</v>
      </c>
      <c r="AG209">
        <v>1</v>
      </c>
      <c r="AH209">
        <v>1</v>
      </c>
      <c r="AI209">
        <v>0</v>
      </c>
      <c r="AJ209" t="s">
        <v>250</v>
      </c>
      <c r="AK209" s="4">
        <v>79.1</v>
      </c>
      <c r="AL209" s="4">
        <v>68.2</v>
      </c>
      <c r="AM209" s="4">
        <v>73.65</v>
      </c>
      <c r="AN209">
        <v>0</v>
      </c>
    </row>
    <row r="210" spans="1:40" ht="18" customHeight="1">
      <c r="A210" t="str">
        <f>"141720230302120335340895"</f>
        <v>141720230302120335340895</v>
      </c>
      <c r="B210" t="s">
        <v>44</v>
      </c>
      <c r="C210" t="str">
        <f>" 彭晓曦"</f>
        <v> 彭晓曦</v>
      </c>
      <c r="D210" t="str">
        <f t="shared" si="91"/>
        <v>女</v>
      </c>
      <c r="E210" t="str">
        <f>" 1999-09-11"</f>
        <v> 1999-09-11</v>
      </c>
      <c r="F210" t="str">
        <f>"安徽六安"</f>
        <v>安徽六安</v>
      </c>
      <c r="G210" t="str">
        <f t="shared" si="81"/>
        <v>汉族</v>
      </c>
      <c r="H210" t="str">
        <f t="shared" si="92"/>
        <v>共青团员</v>
      </c>
      <c r="I210" t="str">
        <f>"342426199909114242"</f>
        <v>342426199909114242</v>
      </c>
      <c r="J210" t="str">
        <f>"未婚"</f>
        <v>未婚</v>
      </c>
      <c r="K210" t="str">
        <f aca="true" t="shared" si="94" ref="K210:K216">"本科"</f>
        <v>本科</v>
      </c>
      <c r="L210" t="str">
        <f>"教育学学士"</f>
        <v>教育学学士</v>
      </c>
      <c r="M210" t="str">
        <f t="shared" si="93"/>
        <v>学前教育</v>
      </c>
      <c r="N210" t="str">
        <f>"黄山学院"</f>
        <v>黄山学院</v>
      </c>
      <c r="O210" t="str">
        <f>"2022-07-01"</f>
        <v>2022-07-01</v>
      </c>
      <c r="P210" t="str">
        <f>"本科"</f>
        <v>本科</v>
      </c>
      <c r="Q210" t="str">
        <f>"教育学学士"</f>
        <v>教育学学士</v>
      </c>
      <c r="R210" t="str">
        <f t="shared" si="90"/>
        <v>学前教育</v>
      </c>
      <c r="S210" t="str">
        <f>"黄山学院"</f>
        <v>黄山学院</v>
      </c>
      <c r="T210" t="str">
        <f>"2022-07-01"</f>
        <v>2022-07-01</v>
      </c>
      <c r="U210" t="str">
        <f>"幼儿教师资格证、普通话二甲证、中国舞蹈4-6级"</f>
        <v>幼儿教师资格证、普通话二甲证、中国舞蹈4-6级</v>
      </c>
      <c r="V210" t="str">
        <f>"无"</f>
        <v>无</v>
      </c>
      <c r="W210" t="str">
        <f t="shared" si="89"/>
        <v>无</v>
      </c>
      <c r="X210" t="str">
        <f t="shared" si="78"/>
        <v>是</v>
      </c>
      <c r="Y210" t="str">
        <f>"无"</f>
        <v>无</v>
      </c>
      <c r="Z210" t="str">
        <f>"19159283135"</f>
        <v>19159283135</v>
      </c>
      <c r="AA210" t="str">
        <f>"安徽省六安市金寨县南溪镇花园村"</f>
        <v>安徽省六安市金寨县南溪镇花园村</v>
      </c>
      <c r="AB210" s="1" t="str">
        <f>"2015.9-2018.7 安徽金寨职业学校 学生
2018.9-2022.7 黄山学院 学生"</f>
        <v>2015.9-2018.7 安徽金寨职业学校 学生
2018.9-2022.7 黄山学院 学生</v>
      </c>
      <c r="AC210" t="str">
        <f>"无"</f>
        <v>无</v>
      </c>
      <c r="AD210" t="str">
        <f>"钢琴、舞蹈、摄影"</f>
        <v>钢琴、舞蹈、摄影</v>
      </c>
      <c r="AE210" t="str">
        <f>"父女|彭显顺|上海良友物流集团有限公司|无|母女|李运华|无|无|姐妹|彭小珊|象山县仁智艺术特长培训有限公司|教师"</f>
        <v>父女|彭显顺|上海良友物流集团有限公司|无|母女|李运华|无|无|姐妹|彭小珊|象山县仁智艺术特长培训有限公司|教师</v>
      </c>
      <c r="AF210" s="2">
        <v>44987.63568287037</v>
      </c>
      <c r="AG210">
        <v>1</v>
      </c>
      <c r="AH210">
        <v>1</v>
      </c>
      <c r="AI210">
        <v>0</v>
      </c>
      <c r="AJ210" t="s">
        <v>251</v>
      </c>
      <c r="AK210" s="4">
        <v>72.4</v>
      </c>
      <c r="AL210" s="4">
        <v>66.8</v>
      </c>
      <c r="AM210" s="4">
        <v>69.6</v>
      </c>
      <c r="AN210">
        <v>0</v>
      </c>
    </row>
    <row r="211" spans="1:40" ht="18" customHeight="1">
      <c r="A211" t="str">
        <f>"141720230302120541340896"</f>
        <v>141720230302120541340896</v>
      </c>
      <c r="B211" t="s">
        <v>44</v>
      </c>
      <c r="C211" t="str">
        <f>"李诗文"</f>
        <v>李诗文</v>
      </c>
      <c r="D211" t="str">
        <f t="shared" si="91"/>
        <v>女</v>
      </c>
      <c r="E211" t="str">
        <f>"1995—09"</f>
        <v>1995—09</v>
      </c>
      <c r="F211" t="str">
        <f>"安徽亳州市"</f>
        <v>安徽亳州市</v>
      </c>
      <c r="G211" t="str">
        <f t="shared" si="81"/>
        <v>汉族</v>
      </c>
      <c r="H211" t="str">
        <f t="shared" si="92"/>
        <v>共青团员</v>
      </c>
      <c r="I211" t="str">
        <f>"341227199509202344"</f>
        <v>341227199509202344</v>
      </c>
      <c r="J211" t="str">
        <f>"已婚"</f>
        <v>已婚</v>
      </c>
      <c r="K211" t="str">
        <f t="shared" si="94"/>
        <v>本科</v>
      </c>
      <c r="L211" t="str">
        <f>"教育学学士学位"</f>
        <v>教育学学士学位</v>
      </c>
      <c r="M211" t="str">
        <f t="shared" si="93"/>
        <v>学前教育</v>
      </c>
      <c r="N211" t="str">
        <f>"安徽师范大学"</f>
        <v>安徽师范大学</v>
      </c>
      <c r="O211" t="str">
        <f>"2018.12"</f>
        <v>2018.12</v>
      </c>
      <c r="P211" t="str">
        <f>"专科"</f>
        <v>专科</v>
      </c>
      <c r="Q211" t="str">
        <f>"无"</f>
        <v>无</v>
      </c>
      <c r="R211" t="str">
        <f t="shared" si="90"/>
        <v>学前教育</v>
      </c>
      <c r="S211" t="str">
        <f>"合肥幼儿师范高等专科学校"</f>
        <v>合肥幼儿师范高等专科学校</v>
      </c>
      <c r="T211" t="str">
        <f>"2018.7"</f>
        <v>2018.7</v>
      </c>
      <c r="U211" t="str">
        <f>"幼儿园教师资格证，二甲普通话证书"</f>
        <v>幼儿园教师资格证，二甲普通话证书</v>
      </c>
      <c r="V211" t="str">
        <f>"4年"</f>
        <v>4年</v>
      </c>
      <c r="W211" t="str">
        <f t="shared" si="89"/>
        <v>无</v>
      </c>
      <c r="X211" t="str">
        <f t="shared" si="78"/>
        <v>是</v>
      </c>
      <c r="Y211" t="str">
        <f>"合肥市南丽湾幼儿园"</f>
        <v>合肥市南丽湾幼儿园</v>
      </c>
      <c r="Z211" t="str">
        <f>"13515685597"</f>
        <v>13515685597</v>
      </c>
      <c r="AA211" t="str">
        <f>"合肥市肥东县"</f>
        <v>合肥市肥东县</v>
      </c>
      <c r="AB211" s="1" t="str">
        <f>"2013.9—2015.7利辛一中
2015.9—2018.7合肥幼儿师范高等专科学校
2015.9—2018.12安徽师范大学
2018.9—2019.6安师大附幼
2019.9—至今合肥市南丽湾幼儿园"</f>
        <v>2013.9—2015.7利辛一中
2015.9—2018.7合肥幼儿师范高等专科学校
2015.9—2018.12安徽师范大学
2018.9—2019.6安师大附幼
2019.9—至今合肥市南丽湾幼儿园</v>
      </c>
      <c r="AC211" t="str">
        <f>"包河区幼儿园先进班集体，2020年包河区教师教育教学信息化大赛微课二等奖"</f>
        <v>包河区幼儿园先进班集体，2020年包河区教师教育教学信息化大赛微课二等奖</v>
      </c>
      <c r="AD211" t="str">
        <f>"无"</f>
        <v>无</v>
      </c>
      <c r="AE211" t="str">
        <f>"配偶|吴学磊|上海局集团有限公司上海站虹桥车间|客运员||||||||"</f>
        <v>配偶|吴学磊|上海局集团有限公司上海站虹桥车间|客运员||||||||</v>
      </c>
      <c r="AF211" s="2">
        <v>44987.545578703706</v>
      </c>
      <c r="AG211">
        <v>1</v>
      </c>
      <c r="AH211">
        <v>1</v>
      </c>
      <c r="AI211">
        <v>0</v>
      </c>
      <c r="AJ211" t="s">
        <v>252</v>
      </c>
      <c r="AK211" s="4">
        <v>56.9</v>
      </c>
      <c r="AL211" s="4">
        <v>69.1</v>
      </c>
      <c r="AM211" s="4">
        <v>63</v>
      </c>
      <c r="AN211">
        <v>0</v>
      </c>
    </row>
    <row r="212" spans="1:40" ht="18" customHeight="1">
      <c r="A212" t="str">
        <f>"141720230302121701340897"</f>
        <v>141720230302121701340897</v>
      </c>
      <c r="B212" t="s">
        <v>44</v>
      </c>
      <c r="C212" t="str">
        <f>"陈荣芳"</f>
        <v>陈荣芳</v>
      </c>
      <c r="D212" t="str">
        <f t="shared" si="91"/>
        <v>女</v>
      </c>
      <c r="E212" t="str">
        <f>"19990425"</f>
        <v>19990425</v>
      </c>
      <c r="F212" t="str">
        <f>"安徽"</f>
        <v>安徽</v>
      </c>
      <c r="G212" t="str">
        <f t="shared" si="81"/>
        <v>汉族</v>
      </c>
      <c r="H212" t="str">
        <f t="shared" si="92"/>
        <v>共青团员</v>
      </c>
      <c r="I212" t="str">
        <f>"342426199904254828"</f>
        <v>342426199904254828</v>
      </c>
      <c r="J212" t="str">
        <f>"未婚"</f>
        <v>未婚</v>
      </c>
      <c r="K212" t="str">
        <f t="shared" si="94"/>
        <v>本科</v>
      </c>
      <c r="L212" t="str">
        <f>"学士学位"</f>
        <v>学士学位</v>
      </c>
      <c r="M212" t="str">
        <f t="shared" si="93"/>
        <v>学前教育</v>
      </c>
      <c r="N212" t="str">
        <f>"滁州学院"</f>
        <v>滁州学院</v>
      </c>
      <c r="O212" t="str">
        <f>"2021年7月"</f>
        <v>2021年7月</v>
      </c>
      <c r="P212" t="str">
        <f>"本科"</f>
        <v>本科</v>
      </c>
      <c r="Q212" t="str">
        <f>"学士学位"</f>
        <v>学士学位</v>
      </c>
      <c r="R212" t="str">
        <f t="shared" si="90"/>
        <v>学前教育</v>
      </c>
      <c r="S212" t="str">
        <f>"滁州学院"</f>
        <v>滁州学院</v>
      </c>
      <c r="T212" t="str">
        <f>"2021年7月"</f>
        <v>2021年7月</v>
      </c>
      <c r="U212" t="str">
        <f>"幼儿教师资格证"</f>
        <v>幼儿教师资格证</v>
      </c>
      <c r="V212" t="str">
        <f>"1"</f>
        <v>1</v>
      </c>
      <c r="W212" t="str">
        <f t="shared" si="89"/>
        <v>无</v>
      </c>
      <c r="X212" t="str">
        <f t="shared" si="78"/>
        <v>是</v>
      </c>
      <c r="Y212" t="str">
        <f>"天鹅幼教集团"</f>
        <v>天鹅幼教集团</v>
      </c>
      <c r="Z212" t="str">
        <f>"15605508185"</f>
        <v>15605508185</v>
      </c>
      <c r="AA212" t="str">
        <f>"合肥市瑶海区明光路"</f>
        <v>合肥市瑶海区明光路</v>
      </c>
      <c r="AB212" s="1" t="str">
        <f>"2014.9–2017.7 安徽职业技术学院 学生
2017.9–2021.7 滁州学院 学生
2022.9至今 天鹅幼教集团 员工"</f>
        <v>2014.9–2017.7 安徽职业技术学院 学生
2017.9–2021.7 滁州学院 学生
2022.9至今 天鹅幼教集团 员工</v>
      </c>
      <c r="AC212" t="str">
        <f>"无"</f>
        <v>无</v>
      </c>
      <c r="AD212" t="str">
        <f>"钢琴、舞蹈、美术"</f>
        <v>钢琴、舞蹈、美术</v>
      </c>
      <c r="AE212" t="str">
        <f>"父女|陈代兵|无|务农|母女|朱英菊|无|务农||||"</f>
        <v>父女|陈代兵|无|务农|母女|朱英菊|无|务农||||</v>
      </c>
      <c r="AF212" s="2">
        <v>44987.638391203705</v>
      </c>
      <c r="AG212">
        <v>1</v>
      </c>
      <c r="AH212">
        <v>1</v>
      </c>
      <c r="AI212">
        <v>0</v>
      </c>
      <c r="AJ212" t="s">
        <v>253</v>
      </c>
      <c r="AK212" s="4">
        <v>61.4</v>
      </c>
      <c r="AL212" s="4">
        <v>57.3</v>
      </c>
      <c r="AM212" s="4">
        <v>59.349999999999994</v>
      </c>
      <c r="AN212">
        <v>0</v>
      </c>
    </row>
    <row r="213" spans="1:40" ht="18" customHeight="1">
      <c r="A213" t="str">
        <f>"141720230302123752340903"</f>
        <v>141720230302123752340903</v>
      </c>
      <c r="B213" t="s">
        <v>44</v>
      </c>
      <c r="C213" t="str">
        <f>"李青青"</f>
        <v>李青青</v>
      </c>
      <c r="D213" t="str">
        <f t="shared" si="91"/>
        <v>女</v>
      </c>
      <c r="E213" t="str">
        <f>"1994-06"</f>
        <v>1994-06</v>
      </c>
      <c r="F213" t="str">
        <f>"安徽马鞍山"</f>
        <v>安徽马鞍山</v>
      </c>
      <c r="G213" t="str">
        <f aca="true" t="shared" si="95" ref="G213:G222">"汉族"</f>
        <v>汉族</v>
      </c>
      <c r="H213" t="str">
        <f t="shared" si="92"/>
        <v>共青团员</v>
      </c>
      <c r="I213" t="str">
        <f>"342626199406022080"</f>
        <v>342626199406022080</v>
      </c>
      <c r="J213" t="str">
        <f>"已婚"</f>
        <v>已婚</v>
      </c>
      <c r="K213" t="str">
        <f t="shared" si="94"/>
        <v>本科</v>
      </c>
      <c r="L213" t="str">
        <f>"无"</f>
        <v>无</v>
      </c>
      <c r="M213" t="str">
        <f t="shared" si="93"/>
        <v>学前教育</v>
      </c>
      <c r="N213" t="str">
        <f>"马鞍山电视广播大学"</f>
        <v>马鞍山电视广播大学</v>
      </c>
      <c r="O213" t="str">
        <f>"2016.12"</f>
        <v>2016.12</v>
      </c>
      <c r="P213" t="str">
        <f>"大专"</f>
        <v>大专</v>
      </c>
      <c r="Q213" t="str">
        <f>"无"</f>
        <v>无</v>
      </c>
      <c r="R213" t="str">
        <f t="shared" si="90"/>
        <v>学前教育</v>
      </c>
      <c r="S213" t="str">
        <f>"马鞍山幼儿高等师范学校"</f>
        <v>马鞍山幼儿高等师范学校</v>
      </c>
      <c r="T213" t="str">
        <f>"2013.07"</f>
        <v>2013.07</v>
      </c>
      <c r="U213" t="str">
        <f>"幼儿园"</f>
        <v>幼儿园</v>
      </c>
      <c r="V213" t="str">
        <f>"10"</f>
        <v>10</v>
      </c>
      <c r="W213" t="str">
        <f>"一级教师"</f>
        <v>一级教师</v>
      </c>
      <c r="X213" t="str">
        <f t="shared" si="78"/>
        <v>是</v>
      </c>
      <c r="Y213" t="str">
        <f>"全椒县金宝贝幼儿园"</f>
        <v>全椒县金宝贝幼儿园</v>
      </c>
      <c r="Z213" t="str">
        <f>"10756567276"</f>
        <v>10756567276</v>
      </c>
      <c r="AA213" t="str">
        <f>"合肥市庐阳区海塘街道"</f>
        <v>合肥市庐阳区海塘街道</v>
      </c>
      <c r="AB213" s="1" t="str">
        <f>"2008.09-2013.07  马鞍山幼儿高等师范学校 学生
2013.09-2014.07  无为市牛埠镇中心幼儿园 教师
2014.09-2017.07 芜湖市锦苑实验幼儿园 教师
2017.09~至今  全椒县古城幼儿园"</f>
        <v>2008.09-2013.07  马鞍山幼儿高等师范学校 学生
2013.09-2014.07  无为市牛埠镇中心幼儿园 教师
2014.09-2017.07 芜湖市锦苑实验幼儿园 教师
2017.09~至今  全椒县古城幼儿园</v>
      </c>
      <c r="AC213" t="str">
        <f>"任职期间，幼儿园通过市一类评估"</f>
        <v>任职期间，幼儿园通过市一类评估</v>
      </c>
      <c r="AD213" t="str">
        <f>"无"</f>
        <v>无</v>
      </c>
      <c r="AE213" t="str">
        <f>"夫妻|王俊|合肥德如果信息科技有限公司|工程师||||||||"</f>
        <v>夫妻|王俊|合肥德如果信息科技有限公司|工程师||||||||</v>
      </c>
      <c r="AF213" s="2">
        <v>44988.6606712963</v>
      </c>
      <c r="AG213">
        <v>1</v>
      </c>
      <c r="AH213">
        <v>1</v>
      </c>
      <c r="AI213">
        <v>0</v>
      </c>
      <c r="AJ213" t="s">
        <v>254</v>
      </c>
      <c r="AK213" s="4">
        <v>71.8</v>
      </c>
      <c r="AL213" s="4">
        <v>66.8</v>
      </c>
      <c r="AM213" s="4">
        <v>69.3</v>
      </c>
      <c r="AN213">
        <v>0</v>
      </c>
    </row>
    <row r="214" spans="1:40" ht="18" customHeight="1">
      <c r="A214" t="str">
        <f>"141720230302124918340904"</f>
        <v>141720230302124918340904</v>
      </c>
      <c r="B214" t="s">
        <v>44</v>
      </c>
      <c r="C214" t="str">
        <f>"黄珊珊"</f>
        <v>黄珊珊</v>
      </c>
      <c r="D214" t="str">
        <f t="shared" si="91"/>
        <v>女</v>
      </c>
      <c r="E214" t="str">
        <f>"2001-1-10"</f>
        <v>2001-1-10</v>
      </c>
      <c r="F214" t="str">
        <f>"安徽马鞍山"</f>
        <v>安徽马鞍山</v>
      </c>
      <c r="G214" t="str">
        <f t="shared" si="95"/>
        <v>汉族</v>
      </c>
      <c r="H214" t="str">
        <f t="shared" si="92"/>
        <v>共青团员</v>
      </c>
      <c r="I214" t="str">
        <f>"342626200101106123"</f>
        <v>342626200101106123</v>
      </c>
      <c r="J214" t="str">
        <f aca="true" t="shared" si="96" ref="J214:J222">"未婚"</f>
        <v>未婚</v>
      </c>
      <c r="K214" t="str">
        <f t="shared" si="94"/>
        <v>本科</v>
      </c>
      <c r="L214" t="str">
        <f>"本科"</f>
        <v>本科</v>
      </c>
      <c r="M214" t="str">
        <f t="shared" si="93"/>
        <v>学前教育</v>
      </c>
      <c r="N214" t="str">
        <f>"安徽师范大学"</f>
        <v>安徽师范大学</v>
      </c>
      <c r="O214" t="str">
        <f>"2023.7"</f>
        <v>2023.7</v>
      </c>
      <c r="P214" t="str">
        <f>"本科"</f>
        <v>本科</v>
      </c>
      <c r="Q214" t="str">
        <f>"教育学学士"</f>
        <v>教育学学士</v>
      </c>
      <c r="R214" t="str">
        <f t="shared" si="90"/>
        <v>学前教育</v>
      </c>
      <c r="S214" t="str">
        <f>"安徽师范大学"</f>
        <v>安徽师范大学</v>
      </c>
      <c r="T214" t="str">
        <f>"2023.7"</f>
        <v>2023.7</v>
      </c>
      <c r="U214" t="str">
        <f>"幼儿教师资格证书"</f>
        <v>幼儿教师资格证书</v>
      </c>
      <c r="V214" t="str">
        <f>"0"</f>
        <v>0</v>
      </c>
      <c r="W214" t="str">
        <f>"无"</f>
        <v>无</v>
      </c>
      <c r="X214" t="str">
        <f t="shared" si="78"/>
        <v>是</v>
      </c>
      <c r="Y214" t="str">
        <f>"安徽师范大学教育科学学院"</f>
        <v>安徽师范大学教育科学学院</v>
      </c>
      <c r="Z214" t="str">
        <f>"19826525811"</f>
        <v>19826525811</v>
      </c>
      <c r="AA214" t="str">
        <f>"安徽师范大学赭山校区"</f>
        <v>安徽师范大学赭山校区</v>
      </c>
      <c r="AB214" s="1" t="str">
        <f>"2016.6-2019.7 马鞍山市和县一中 学生；2019.7至今 安徽师范大学 学生
"</f>
        <v>2016.6-2019.7 马鞍山市和县一中 学生；2019.7至今 安徽师范大学 学生
</v>
      </c>
      <c r="AC214" t="str">
        <f>"获校级三等奖学金"</f>
        <v>获校级三等奖学金</v>
      </c>
      <c r="AD214" t="str">
        <f>"无"</f>
        <v>无</v>
      </c>
      <c r="AE214" t="str">
        <f>"父女|黄宗亮|||母女|邹连静||||||"</f>
        <v>父女|黄宗亮|||母女|邹连静||||||</v>
      </c>
      <c r="AF214" s="2">
        <v>44987.57530092593</v>
      </c>
      <c r="AG214">
        <v>1</v>
      </c>
      <c r="AH214">
        <v>1</v>
      </c>
      <c r="AI214">
        <v>0</v>
      </c>
      <c r="AJ214" t="s">
        <v>255</v>
      </c>
      <c r="AK214" s="4">
        <v>82.1</v>
      </c>
      <c r="AL214" s="4">
        <v>70.7</v>
      </c>
      <c r="AM214" s="4">
        <v>76.4</v>
      </c>
      <c r="AN214">
        <v>0</v>
      </c>
    </row>
    <row r="215" spans="1:40" ht="18" customHeight="1">
      <c r="A215" t="str">
        <f>"141720230302125524340905"</f>
        <v>141720230302125524340905</v>
      </c>
      <c r="B215" t="s">
        <v>44</v>
      </c>
      <c r="C215" t="str">
        <f>"刘巧丽"</f>
        <v>刘巧丽</v>
      </c>
      <c r="D215" t="str">
        <f t="shared" si="91"/>
        <v>女</v>
      </c>
      <c r="E215" t="str">
        <f>"1997-2"</f>
        <v>1997-2</v>
      </c>
      <c r="F215" t="str">
        <f>"安徽省淮南市"</f>
        <v>安徽省淮南市</v>
      </c>
      <c r="G215" t="str">
        <f t="shared" si="95"/>
        <v>汉族</v>
      </c>
      <c r="H215" t="str">
        <f t="shared" si="92"/>
        <v>共青团员</v>
      </c>
      <c r="I215" t="str">
        <f>"340402199702170025"</f>
        <v>340402199702170025</v>
      </c>
      <c r="J215" t="str">
        <f t="shared" si="96"/>
        <v>未婚</v>
      </c>
      <c r="K215" t="str">
        <f t="shared" si="94"/>
        <v>本科</v>
      </c>
      <c r="L215" t="str">
        <f>"本科"</f>
        <v>本科</v>
      </c>
      <c r="M215" t="str">
        <f t="shared" si="93"/>
        <v>学前教育</v>
      </c>
      <c r="N215" t="str">
        <f>"安徽师范大学"</f>
        <v>安徽师范大学</v>
      </c>
      <c r="O215" t="str">
        <f>"2020.7"</f>
        <v>2020.7</v>
      </c>
      <c r="P215" t="str">
        <f>"大专"</f>
        <v>大专</v>
      </c>
      <c r="Q215" t="str">
        <f>"大专"</f>
        <v>大专</v>
      </c>
      <c r="R215" t="str">
        <f t="shared" si="90"/>
        <v>学前教育</v>
      </c>
      <c r="S215" t="str">
        <f>"合肥幼儿师范高等专科学校"</f>
        <v>合肥幼儿师范高等专科学校</v>
      </c>
      <c r="T215" t="str">
        <f>"2017.7"</f>
        <v>2017.7</v>
      </c>
      <c r="U215" t="str">
        <f>"教师资格证"</f>
        <v>教师资格证</v>
      </c>
      <c r="V215" t="str">
        <f>"5年"</f>
        <v>5年</v>
      </c>
      <c r="W215" t="str">
        <f>"三级教师"</f>
        <v>三级教师</v>
      </c>
      <c r="X215" t="str">
        <f t="shared" si="78"/>
        <v>是</v>
      </c>
      <c r="Y215" t="str">
        <f>"中铁四局直属机关幼儿园"</f>
        <v>中铁四局直属机关幼儿园</v>
      </c>
      <c r="Z215" t="str">
        <f>"15156984292"</f>
        <v>15156984292</v>
      </c>
      <c r="AA215" t="str">
        <f>" 安徽省合肥市包河区桐城南路桐江新村"</f>
        <v> 安徽省合肥市包河区桐城南路桐江新村</v>
      </c>
      <c r="AB215" s="1" t="str">
        <f>"2012.9-2017.7 合肥幼儿师范高等专科学校 学生
2018.1-2020.7 安徽师范大学 学生
2017.7-至今中铁四局直属机关幼儿园 员工"</f>
        <v>2012.9-2017.7 合肥幼儿师范高等专科学校 学生
2018.1-2020.7 安徽师范大学 学生
2017.7-至今中铁四局直属机关幼儿园 员工</v>
      </c>
      <c r="AC215" t="str">
        <f>"无"</f>
        <v>无</v>
      </c>
      <c r="AD215" t="str">
        <f>"钢琴"</f>
        <v>钢琴</v>
      </c>
      <c r="AE215" t="str">
        <f>"母亲|刘艳||||||||||"</f>
        <v>母亲|刘艳||||||||||</v>
      </c>
      <c r="AF215" s="2">
        <v>44987.58311342593</v>
      </c>
      <c r="AG215">
        <v>1</v>
      </c>
      <c r="AH215">
        <v>1</v>
      </c>
      <c r="AI215">
        <v>0</v>
      </c>
      <c r="AJ215" t="s">
        <v>256</v>
      </c>
      <c r="AK215" s="4" t="s">
        <v>264</v>
      </c>
      <c r="AL215" s="4" t="s">
        <v>264</v>
      </c>
      <c r="AM215" s="4" t="s">
        <v>264</v>
      </c>
      <c r="AN215">
        <v>0</v>
      </c>
    </row>
    <row r="216" spans="1:40" ht="18" customHeight="1">
      <c r="A216" t="str">
        <f>"141720230302131040340908"</f>
        <v>141720230302131040340908</v>
      </c>
      <c r="B216" t="s">
        <v>44</v>
      </c>
      <c r="C216" t="str">
        <f>"丁双双"</f>
        <v>丁双双</v>
      </c>
      <c r="D216" t="str">
        <f t="shared" si="91"/>
        <v>女</v>
      </c>
      <c r="E216" t="str">
        <f>"1995-05"</f>
        <v>1995-05</v>
      </c>
      <c r="F216" t="str">
        <f>"安徽阜阳"</f>
        <v>安徽阜阳</v>
      </c>
      <c r="G216" t="str">
        <f t="shared" si="95"/>
        <v>汉族</v>
      </c>
      <c r="H216" t="str">
        <f>"群众"</f>
        <v>群众</v>
      </c>
      <c r="I216" t="str">
        <f>"341225199405167027"</f>
        <v>341225199405167027</v>
      </c>
      <c r="J216" t="str">
        <f t="shared" si="96"/>
        <v>未婚</v>
      </c>
      <c r="K216" t="str">
        <f t="shared" si="94"/>
        <v>本科</v>
      </c>
      <c r="L216" t="str">
        <f>"无"</f>
        <v>无</v>
      </c>
      <c r="M216" t="str">
        <f t="shared" si="93"/>
        <v>学前教育</v>
      </c>
      <c r="N216" t="str">
        <f>"安徽师范大学"</f>
        <v>安徽师范大学</v>
      </c>
      <c r="O216" t="str">
        <f>"2020-07-01"</f>
        <v>2020-07-01</v>
      </c>
      <c r="P216" t="str">
        <f>"中专"</f>
        <v>中专</v>
      </c>
      <c r="Q216" t="str">
        <f>"无"</f>
        <v>无</v>
      </c>
      <c r="R216" t="str">
        <f t="shared" si="90"/>
        <v>学前教育</v>
      </c>
      <c r="S216" t="str">
        <f>"亳州幼儿师范学校"</f>
        <v>亳州幼儿师范学校</v>
      </c>
      <c r="T216" t="str">
        <f>"2015-07"</f>
        <v>2015-07</v>
      </c>
      <c r="U216" t="str">
        <f>"有"</f>
        <v>有</v>
      </c>
      <c r="V216" t="str">
        <f>"7.5"</f>
        <v>7.5</v>
      </c>
      <c r="W216" t="str">
        <f aca="true" t="shared" si="97" ref="W216:W222">"无"</f>
        <v>无</v>
      </c>
      <c r="X216" t="str">
        <f t="shared" si="78"/>
        <v>是</v>
      </c>
      <c r="Y216" t="str">
        <f>"和昌都汇华府幼儿园"</f>
        <v>和昌都汇华府幼儿园</v>
      </c>
      <c r="Z216" t="str">
        <f>"15155165262"</f>
        <v>15155165262</v>
      </c>
      <c r="AA216" t="str">
        <f>"包河区和昌都汇华府2栋"</f>
        <v>包河区和昌都汇华府2栋</v>
      </c>
      <c r="AB216" s="1" t="str">
        <f>"2012.9亳州幼儿师范学校，在校学生。
2015.7毕业，2015年8月在和昌都汇华府幼儿园工作至今"</f>
        <v>2012.9亳州幼儿师范学校，在校学生。
2015.7毕业，2015年8月在和昌都汇华府幼儿园工作至今</v>
      </c>
      <c r="AC216" t="str">
        <f>"得到过园内优秀班级，优秀个人，包河区优秀班主任。"</f>
        <v>得到过园内优秀班级，优秀个人，包河区优秀班主任。</v>
      </c>
      <c r="AD216" t="str">
        <f>"爱好做手工，画画，养花"</f>
        <v>爱好做手工，画画，养花</v>
      </c>
      <c r="AE216" t="str">
        <f>"母女|崔侠||务农|父女|丁长付||务农||||"</f>
        <v>母女|崔侠||务农|父女|丁长付||务农||||</v>
      </c>
      <c r="AF216" s="2">
        <v>44987.5783912037</v>
      </c>
      <c r="AG216">
        <v>1</v>
      </c>
      <c r="AH216">
        <v>1</v>
      </c>
      <c r="AI216">
        <v>0</v>
      </c>
      <c r="AJ216" t="s">
        <v>257</v>
      </c>
      <c r="AK216" s="4">
        <v>63.6</v>
      </c>
      <c r="AL216" s="4">
        <v>53</v>
      </c>
      <c r="AM216" s="4">
        <v>58.3</v>
      </c>
      <c r="AN216">
        <v>0</v>
      </c>
    </row>
    <row r="217" spans="1:40" ht="18" customHeight="1">
      <c r="A217" t="str">
        <f>"141720230302132721340909"</f>
        <v>141720230302132721340909</v>
      </c>
      <c r="B217" t="s">
        <v>44</v>
      </c>
      <c r="C217" t="str">
        <f>"彭慧玲"</f>
        <v>彭慧玲</v>
      </c>
      <c r="D217" t="str">
        <f t="shared" si="91"/>
        <v>女</v>
      </c>
      <c r="E217" t="str">
        <f>"2001-10"</f>
        <v>2001-10</v>
      </c>
      <c r="F217" t="str">
        <f>"安徽池州"</f>
        <v>安徽池州</v>
      </c>
      <c r="G217" t="str">
        <f t="shared" si="95"/>
        <v>汉族</v>
      </c>
      <c r="H217" t="str">
        <f aca="true" t="shared" si="98" ref="H217:H222">"共青团员"</f>
        <v>共青团员</v>
      </c>
      <c r="I217" t="str">
        <f>"342921200110102428"</f>
        <v>342921200110102428</v>
      </c>
      <c r="J217" t="str">
        <f t="shared" si="96"/>
        <v>未婚</v>
      </c>
      <c r="K217" t="str">
        <f>"大专"</f>
        <v>大专</v>
      </c>
      <c r="L217" t="str">
        <f>"无"</f>
        <v>无</v>
      </c>
      <c r="M217" t="str">
        <f t="shared" si="93"/>
        <v>学前教育</v>
      </c>
      <c r="N217" t="str">
        <f>"合肥滨湖职业技术学院"</f>
        <v>合肥滨湖职业技术学院</v>
      </c>
      <c r="O217" t="str">
        <f>"2022-7-1"</f>
        <v>2022-7-1</v>
      </c>
      <c r="P217" t="str">
        <f>"大专"</f>
        <v>大专</v>
      </c>
      <c r="Q217" t="str">
        <f>"无"</f>
        <v>无</v>
      </c>
      <c r="R217" t="str">
        <f t="shared" si="90"/>
        <v>学前教育</v>
      </c>
      <c r="S217" t="str">
        <f>"合肥滨湖职业职业技术学院"</f>
        <v>合肥滨湖职业职业技术学院</v>
      </c>
      <c r="T217" t="str">
        <f>"2022-7-1"</f>
        <v>2022-7-1</v>
      </c>
      <c r="U217" t="str">
        <f>"幼儿园教师资格证"</f>
        <v>幼儿园教师资格证</v>
      </c>
      <c r="V217" t="str">
        <f>"一年半"</f>
        <v>一年半</v>
      </c>
      <c r="W217" t="str">
        <f t="shared" si="97"/>
        <v>无</v>
      </c>
      <c r="X217" t="str">
        <f t="shared" si="78"/>
        <v>是</v>
      </c>
      <c r="Y217" t="str">
        <f>"合肥市包河区春童幼儿园"</f>
        <v>合肥市包河区春童幼儿园</v>
      </c>
      <c r="Z217" t="str">
        <f>"18226218741"</f>
        <v>18226218741</v>
      </c>
      <c r="AA217" t="str">
        <f>"合肥市包河区滨湖桂园"</f>
        <v>合肥市包河区滨湖桂园</v>
      </c>
      <c r="AB217" s="1" t="str">
        <f>"2016.9-2019.6 池州工业学校 学生
2019.9-2022.6 滨湖职业技术学校 学生
2021.8-至今 合肥市包河区春童幼儿园 教师"</f>
        <v>2016.9-2019.6 池州工业学校 学生
2019.9-2022.6 滨湖职业技术学校 学生
2021.8-至今 合肥市包河区春童幼儿园 教师</v>
      </c>
      <c r="AC217" s="1" t="str">
        <f>"高中 三好学生 优秀班干部
大学 校内奖学金 励志奖学金 优秀毕业生"</f>
        <v>高中 三好学生 优秀班干部
大学 校内奖学金 励志奖学金 优秀毕业生</v>
      </c>
      <c r="AD217" t="str">
        <f>"画画 唱歌 跳舞 弹琴"</f>
        <v>画画 唱歌 跳舞 弹琴</v>
      </c>
      <c r="AE217" t="str">
        <f>"母女|林桂霞|无|裁缝|父女|彭胜才|无|木匠||||"</f>
        <v>母女|林桂霞|无|裁缝|父女|彭胜才|无|木匠||||</v>
      </c>
      <c r="AF217" s="2">
        <v>44987.596550925926</v>
      </c>
      <c r="AG217">
        <v>1</v>
      </c>
      <c r="AH217">
        <v>1</v>
      </c>
      <c r="AI217">
        <v>0</v>
      </c>
      <c r="AJ217" t="s">
        <v>258</v>
      </c>
      <c r="AK217" s="4" t="s">
        <v>264</v>
      </c>
      <c r="AL217" s="4" t="s">
        <v>264</v>
      </c>
      <c r="AM217" s="4" t="s">
        <v>264</v>
      </c>
      <c r="AN217">
        <v>0</v>
      </c>
    </row>
    <row r="218" spans="1:40" ht="18" customHeight="1">
      <c r="A218" t="str">
        <f>"141720230302132918340911"</f>
        <v>141720230302132918340911</v>
      </c>
      <c r="B218" t="s">
        <v>44</v>
      </c>
      <c r="C218" t="str">
        <f>"钱伟红"</f>
        <v>钱伟红</v>
      </c>
      <c r="D218" t="str">
        <f t="shared" si="91"/>
        <v>女</v>
      </c>
      <c r="E218" t="str">
        <f>"1998-01"</f>
        <v>1998-01</v>
      </c>
      <c r="F218" t="str">
        <f>"安徽当涂县"</f>
        <v>安徽当涂县</v>
      </c>
      <c r="G218" t="str">
        <f t="shared" si="95"/>
        <v>汉族</v>
      </c>
      <c r="H218" t="str">
        <f t="shared" si="98"/>
        <v>共青团员</v>
      </c>
      <c r="I218" t="str">
        <f>"340521199802015027"</f>
        <v>340521199802015027</v>
      </c>
      <c r="J218" t="str">
        <f t="shared" si="96"/>
        <v>未婚</v>
      </c>
      <c r="K218" t="str">
        <f>"本科"</f>
        <v>本科</v>
      </c>
      <c r="L218" t="str">
        <f>"学士"</f>
        <v>学士</v>
      </c>
      <c r="M218" t="str">
        <f>"学前教育（师范）"</f>
        <v>学前教育（师范）</v>
      </c>
      <c r="N218" t="str">
        <f>"辽宁师范大学"</f>
        <v>辽宁师范大学</v>
      </c>
      <c r="O218" t="str">
        <f>"2022.07"</f>
        <v>2022.07</v>
      </c>
      <c r="P218" t="str">
        <f>"本科"</f>
        <v>本科</v>
      </c>
      <c r="Q218" t="str">
        <f>"学士"</f>
        <v>学士</v>
      </c>
      <c r="R218" t="str">
        <f>"学前教育（师范）"</f>
        <v>学前教育（师范）</v>
      </c>
      <c r="S218" t="str">
        <f>"辽宁师范大学"</f>
        <v>辽宁师范大学</v>
      </c>
      <c r="T218" t="str">
        <f>"2022.07"</f>
        <v>2022.07</v>
      </c>
      <c r="U218" t="str">
        <f>"幼儿教师资格证书、育婴师证书、CET四级证书、普通话水平测试等级证书（一级乙等）"</f>
        <v>幼儿教师资格证书、育婴师证书、CET四级证书、普通话水平测试等级证书（一级乙等）</v>
      </c>
      <c r="V218" t="str">
        <f>"无"</f>
        <v>无</v>
      </c>
      <c r="W218" t="str">
        <f t="shared" si="97"/>
        <v>无</v>
      </c>
      <c r="X218" t="str">
        <f t="shared" si="78"/>
        <v>是</v>
      </c>
      <c r="Y218" t="str">
        <f>"无"</f>
        <v>无</v>
      </c>
      <c r="Z218" t="str">
        <f>"18155535938"</f>
        <v>18155535938</v>
      </c>
      <c r="AA218" t="str">
        <f>"当涂县"</f>
        <v>当涂县</v>
      </c>
      <c r="AB218" s="1" t="str">
        <f>"2013.09-2016.06  当涂县石桥高中       学生
2016.09-2018.06  马鞍山中加双语学校      学生
2018.09-2022.06  辽宁师范大学            学生
2020.06-2020.09  百年誉才教育中心        带班老师
2021.07-2021.09  百年誉才教育中心        一对一VIP老师
2022.06-2022.07  安徽师范大学附属幼儿园  实习老师
"</f>
        <v>2013.09-2016.06  当涂县石桥高中       学生
2016.09-2018.06  马鞍山中加双语学校      学生
2018.09-2022.06  辽宁师范大学            学生
2020.06-2020.09  百年誉才教育中心        带班老师
2021.07-2021.09  百年誉才教育中心        一对一VIP老师
2022.06-2022.07  安徽师范大学附属幼儿园  实习老师
</v>
      </c>
      <c r="AC218" s="1" t="s">
        <v>60</v>
      </c>
      <c r="AD218" t="str">
        <f>"无"</f>
        <v>无</v>
      </c>
      <c r="AE218" t="str">
        <f>"父亲|钱奇煜|安徽省当涂县|务工|母亲|魏有凤|安徽省当涂县|务工||||"</f>
        <v>父亲|钱奇煜|安徽省当涂县|务工|母亲|魏有凤|安徽省当涂县|务工||||</v>
      </c>
      <c r="AF218" s="2">
        <v>44987.60225694445</v>
      </c>
      <c r="AG218">
        <v>1</v>
      </c>
      <c r="AH218">
        <v>1</v>
      </c>
      <c r="AI218">
        <v>0</v>
      </c>
      <c r="AJ218" t="s">
        <v>259</v>
      </c>
      <c r="AK218" s="4" t="s">
        <v>264</v>
      </c>
      <c r="AL218" s="4" t="s">
        <v>264</v>
      </c>
      <c r="AM218" s="4" t="s">
        <v>264</v>
      </c>
      <c r="AN218">
        <v>0</v>
      </c>
    </row>
    <row r="219" spans="1:40" ht="18" customHeight="1">
      <c r="A219" t="str">
        <f>"141720230302134601340916"</f>
        <v>141720230302134601340916</v>
      </c>
      <c r="B219" t="s">
        <v>44</v>
      </c>
      <c r="C219" t="str">
        <f>"李欣茹"</f>
        <v>李欣茹</v>
      </c>
      <c r="D219" t="str">
        <f t="shared" si="91"/>
        <v>女</v>
      </c>
      <c r="E219" t="str">
        <f>"2000-0908"</f>
        <v>2000-0908</v>
      </c>
      <c r="F219" t="str">
        <f>"安徽包河区"</f>
        <v>安徽包河区</v>
      </c>
      <c r="G219" t="str">
        <f t="shared" si="95"/>
        <v>汉族</v>
      </c>
      <c r="H219" t="str">
        <f t="shared" si="98"/>
        <v>共青团员</v>
      </c>
      <c r="I219" t="str">
        <f>"340111200009080027"</f>
        <v>340111200009080027</v>
      </c>
      <c r="J219" t="str">
        <f t="shared" si="96"/>
        <v>未婚</v>
      </c>
      <c r="K219" t="str">
        <f>"本科"</f>
        <v>本科</v>
      </c>
      <c r="L219" t="str">
        <f>"学士"</f>
        <v>学士</v>
      </c>
      <c r="M219" t="str">
        <f>"学前教育"</f>
        <v>学前教育</v>
      </c>
      <c r="N219" t="str">
        <f>"安徽师范大学皖江学院"</f>
        <v>安徽师范大学皖江学院</v>
      </c>
      <c r="O219" t="str">
        <f>"2023-06"</f>
        <v>2023-06</v>
      </c>
      <c r="P219" t="str">
        <f>"本科"</f>
        <v>本科</v>
      </c>
      <c r="Q219" t="str">
        <f>"学士"</f>
        <v>学士</v>
      </c>
      <c r="R219" t="str">
        <f>"学前教育"</f>
        <v>学前教育</v>
      </c>
      <c r="S219" t="str">
        <f>"安徽师范大学皖江学院"</f>
        <v>安徽师范大学皖江学院</v>
      </c>
      <c r="T219" t="str">
        <f>"2023-06"</f>
        <v>2023-06</v>
      </c>
      <c r="U219" t="str">
        <f>"幼儿园教师资格证"</f>
        <v>幼儿园教师资格证</v>
      </c>
      <c r="V219" t="str">
        <f>"实习三个月"</f>
        <v>实习三个月</v>
      </c>
      <c r="W219" t="str">
        <f t="shared" si="97"/>
        <v>无</v>
      </c>
      <c r="X219" t="str">
        <f t="shared" si="78"/>
        <v>是</v>
      </c>
      <c r="Y219" t="str">
        <f>"安徽师范大学皖江学院"</f>
        <v>安徽师范大学皖江学院</v>
      </c>
      <c r="Z219" t="str">
        <f>"18709839783"</f>
        <v>18709839783</v>
      </c>
      <c r="AA219" t="str">
        <f>"安徽瑶海区"</f>
        <v>安徽瑶海区</v>
      </c>
      <c r="AB219" s="1" t="str">
        <f>"2016.9-2019.6尚真中学学生
2019.9-2023.6安徽师范大学皖江学院学生
"</f>
        <v>2016.9-2019.6尚真中学学生
2019.9-2023.6安徽师范大学皖江学院学生
</v>
      </c>
      <c r="AC219" s="1" t="str">
        <f>"第十届“挑战杯华安证券”安徽省创业大赛银奖
2022年度“互联网+”创新创业大赛二等奖
普通话二级甲等
大学生英语四级"</f>
        <v>第十届“挑战杯华安证券”安徽省创业大赛银奖
2022年度“互联网+”创新创业大赛二等奖
普通话二级甲等
大学生英语四级</v>
      </c>
      <c r="AD219" t="str">
        <f>"运动，绘画，手工"</f>
        <v>运动，绘画，手工</v>
      </c>
      <c r="AE219" t="str">
        <f>"母女|刘巧巧|||父女|李和清||||||"</f>
        <v>母女|刘巧巧|||父女|李和清||||||</v>
      </c>
      <c r="AF219" s="2">
        <v>44987.63484953704</v>
      </c>
      <c r="AG219">
        <v>1</v>
      </c>
      <c r="AH219">
        <v>1</v>
      </c>
      <c r="AI219">
        <v>0</v>
      </c>
      <c r="AJ219" t="s">
        <v>260</v>
      </c>
      <c r="AK219" s="4">
        <v>74.2</v>
      </c>
      <c r="AL219" s="4">
        <v>64.6</v>
      </c>
      <c r="AM219" s="4">
        <v>69.4</v>
      </c>
      <c r="AN219">
        <v>0</v>
      </c>
    </row>
    <row r="220" spans="1:40" ht="18" customHeight="1">
      <c r="A220" t="str">
        <f>"141720230302144037340925"</f>
        <v>141720230302144037340925</v>
      </c>
      <c r="B220" t="s">
        <v>44</v>
      </c>
      <c r="C220" t="str">
        <f>"孔凡丽"</f>
        <v>孔凡丽</v>
      </c>
      <c r="D220" t="str">
        <f t="shared" si="91"/>
        <v>女</v>
      </c>
      <c r="E220" t="str">
        <f>"1999-11"</f>
        <v>1999-11</v>
      </c>
      <c r="F220" t="str">
        <f>"安徽省六安市金安区"</f>
        <v>安徽省六安市金安区</v>
      </c>
      <c r="G220" t="str">
        <f t="shared" si="95"/>
        <v>汉族</v>
      </c>
      <c r="H220" t="str">
        <f t="shared" si="98"/>
        <v>共青团员</v>
      </c>
      <c r="I220" t="str">
        <f>"342401199911267267"</f>
        <v>342401199911267267</v>
      </c>
      <c r="J220" t="str">
        <f t="shared" si="96"/>
        <v>未婚</v>
      </c>
      <c r="K220" t="str">
        <f>"本科"</f>
        <v>本科</v>
      </c>
      <c r="L220" t="str">
        <f>"无"</f>
        <v>无</v>
      </c>
      <c r="M220" t="str">
        <f>"小学教育"</f>
        <v>小学教育</v>
      </c>
      <c r="N220" t="str">
        <f>"合肥学院"</f>
        <v>合肥学院</v>
      </c>
      <c r="O220" t="str">
        <f>"2023.7.1"</f>
        <v>2023.7.1</v>
      </c>
      <c r="P220" t="str">
        <f>"大专"</f>
        <v>大专</v>
      </c>
      <c r="Q220" t="str">
        <f>"无"</f>
        <v>无</v>
      </c>
      <c r="R220" t="str">
        <f>"学前教育"</f>
        <v>学前教育</v>
      </c>
      <c r="S220" t="str">
        <f>"安徽师范大学"</f>
        <v>安徽师范大学</v>
      </c>
      <c r="T220" t="str">
        <f>"2018.7.1"</f>
        <v>2018.7.1</v>
      </c>
      <c r="U220" t="str">
        <f>"有"</f>
        <v>有</v>
      </c>
      <c r="V220" t="str">
        <f>"4"</f>
        <v>4</v>
      </c>
      <c r="W220" t="str">
        <f t="shared" si="97"/>
        <v>无</v>
      </c>
      <c r="X220" t="str">
        <f>"否"</f>
        <v>否</v>
      </c>
      <c r="Y220" t="str">
        <f>"徐桥苑幼儿园"</f>
        <v>徐桥苑幼儿园</v>
      </c>
      <c r="Z220" t="str">
        <f>"15256261871"</f>
        <v>15256261871</v>
      </c>
      <c r="AA220" t="str">
        <f>"安徽省合肥市长丰县双凤开发区阿奎利亚徐桥苑南区"</f>
        <v>安徽省合肥市长丰县双凤开发区阿奎利亚徐桥苑南区</v>
      </c>
      <c r="AB220" s="1" t="str">
        <f>"2015.9.1-2018.6安徽国际商务职业学院中专部 学生
2018.7-至今徐桥苑幼儿园 教师"</f>
        <v>2015.9.1-2018.6安徽国际商务职业学院中专部 学生
2018.7-至今徐桥苑幼儿园 教师</v>
      </c>
      <c r="AC220" t="str">
        <f>"无"</f>
        <v>无</v>
      </c>
      <c r="AD220" t="str">
        <f>"无"</f>
        <v>无</v>
      </c>
      <c r="AE220" t="str">
        <f>"父亲|孔庆楼|六安市建筑工地|建筑工人||||||||"</f>
        <v>父亲|孔庆楼|六安市建筑工地|建筑工人||||||||</v>
      </c>
      <c r="AF220" s="2">
        <v>44988.39129629629</v>
      </c>
      <c r="AG220">
        <v>1</v>
      </c>
      <c r="AH220">
        <v>1</v>
      </c>
      <c r="AI220">
        <v>0</v>
      </c>
      <c r="AJ220" t="s">
        <v>261</v>
      </c>
      <c r="AK220" s="4">
        <v>54</v>
      </c>
      <c r="AL220" s="4">
        <v>61.6</v>
      </c>
      <c r="AM220" s="4">
        <v>57.8</v>
      </c>
      <c r="AN220">
        <v>0</v>
      </c>
    </row>
    <row r="221" spans="1:40" ht="18" customHeight="1">
      <c r="A221" t="str">
        <f>"141720230302145604340929"</f>
        <v>141720230302145604340929</v>
      </c>
      <c r="B221" t="s">
        <v>44</v>
      </c>
      <c r="C221" t="str">
        <f>"韩星月"</f>
        <v>韩星月</v>
      </c>
      <c r="D221" t="str">
        <f t="shared" si="91"/>
        <v>女</v>
      </c>
      <c r="E221" t="str">
        <f>"2002-5"</f>
        <v>2002-5</v>
      </c>
      <c r="F221" t="str">
        <f>"河北省邯郸市"</f>
        <v>河北省邯郸市</v>
      </c>
      <c r="G221" t="str">
        <f t="shared" si="95"/>
        <v>汉族</v>
      </c>
      <c r="H221" t="str">
        <f t="shared" si="98"/>
        <v>共青团员</v>
      </c>
      <c r="I221" t="str">
        <f>"130427200205256120"</f>
        <v>130427200205256120</v>
      </c>
      <c r="J221" t="str">
        <f t="shared" si="96"/>
        <v>未婚</v>
      </c>
      <c r="K221" t="str">
        <f>"大专"</f>
        <v>大专</v>
      </c>
      <c r="L221" t="str">
        <f>"无"</f>
        <v>无</v>
      </c>
      <c r="M221" t="str">
        <f>"学前教育"</f>
        <v>学前教育</v>
      </c>
      <c r="N221" t="str">
        <f>"安徽中澳科技职业学院"</f>
        <v>安徽中澳科技职业学院</v>
      </c>
      <c r="O221" t="str">
        <f>"2023.6"</f>
        <v>2023.6</v>
      </c>
      <c r="P221" t="str">
        <f>"专科"</f>
        <v>专科</v>
      </c>
      <c r="Q221" t="str">
        <f>"无"</f>
        <v>无</v>
      </c>
      <c r="R221" t="str">
        <f>"学前教育"</f>
        <v>学前教育</v>
      </c>
      <c r="S221" t="str">
        <f>"安徽中澳科技职业学院"</f>
        <v>安徽中澳科技职业学院</v>
      </c>
      <c r="T221" t="str">
        <f>"2023.6"</f>
        <v>2023.6</v>
      </c>
      <c r="U221" t="str">
        <f>"幼儿园教师资格证"</f>
        <v>幼儿园教师资格证</v>
      </c>
      <c r="V221" t="str">
        <f>"半年实习经验"</f>
        <v>半年实习经验</v>
      </c>
      <c r="W221" t="str">
        <f t="shared" si="97"/>
        <v>无</v>
      </c>
      <c r="X221" t="str">
        <f>"是"</f>
        <v>是</v>
      </c>
      <c r="Y221" t="str">
        <f>"无"</f>
        <v>无</v>
      </c>
      <c r="Z221" t="str">
        <f>"16655019619"</f>
        <v>16655019619</v>
      </c>
      <c r="AA221" t="str">
        <f>"美的金克郡"</f>
        <v>美的金克郡</v>
      </c>
      <c r="AB221" s="1" t="str">
        <f>"高中在邯郸市磁县第二中学学习
大学在安徽中澳科技职业学院学习
大三在某所园实习"</f>
        <v>高中在邯郸市磁县第二中学学习
大学在安徽中澳科技职业学院学习
大三在某所园实习</v>
      </c>
      <c r="AC221" t="str">
        <f>"无"</f>
        <v>无</v>
      </c>
      <c r="AD221" t="str">
        <f>"舞蹈"</f>
        <v>舞蹈</v>
      </c>
      <c r="AE221" t="str">
        <f>"父亲|韩迎东|务工|无|母亲|索纯丽|务工|无|兄弟|韩浩然|学习|学生"</f>
        <v>父亲|韩迎东|务工|无|母亲|索纯丽|务工|无|兄弟|韩浩然|学习|学生</v>
      </c>
      <c r="AF221" s="2">
        <v>44987.64326388889</v>
      </c>
      <c r="AG221">
        <v>1</v>
      </c>
      <c r="AH221">
        <v>1</v>
      </c>
      <c r="AI221">
        <v>0</v>
      </c>
      <c r="AJ221" t="s">
        <v>262</v>
      </c>
      <c r="AK221" s="4">
        <v>74.4</v>
      </c>
      <c r="AL221" s="4">
        <v>73</v>
      </c>
      <c r="AM221" s="4">
        <v>73.7</v>
      </c>
      <c r="AN221">
        <v>0</v>
      </c>
    </row>
    <row r="222" spans="1:40" ht="18" customHeight="1">
      <c r="A222" t="str">
        <f>"141720230302154230340935"</f>
        <v>141720230302154230340935</v>
      </c>
      <c r="B222" t="s">
        <v>44</v>
      </c>
      <c r="C222" t="str">
        <f>"陈艳红"</f>
        <v>陈艳红</v>
      </c>
      <c r="D222" t="str">
        <f t="shared" si="91"/>
        <v>女</v>
      </c>
      <c r="E222" t="str">
        <f>"1999-01"</f>
        <v>1999-01</v>
      </c>
      <c r="F222" t="str">
        <f>"安徽肥东县"</f>
        <v>安徽肥东县</v>
      </c>
      <c r="G222" t="str">
        <f t="shared" si="95"/>
        <v>汉族</v>
      </c>
      <c r="H222" t="str">
        <f t="shared" si="98"/>
        <v>共青团员</v>
      </c>
      <c r="I222" t="str">
        <f>"34012319990118242X"</f>
        <v>34012319990118242X</v>
      </c>
      <c r="J222" t="str">
        <f t="shared" si="96"/>
        <v>未婚</v>
      </c>
      <c r="K222" t="str">
        <f>"本科"</f>
        <v>本科</v>
      </c>
      <c r="L222" t="str">
        <f>"无"</f>
        <v>无</v>
      </c>
      <c r="M222" t="str">
        <f>"学前教育"</f>
        <v>学前教育</v>
      </c>
      <c r="N222" t="str">
        <f>"安徽师范大学教育科学学院"</f>
        <v>安徽师范大学教育科学学院</v>
      </c>
      <c r="O222" t="str">
        <f>"2023.6"</f>
        <v>2023.6</v>
      </c>
      <c r="P222" t="str">
        <f>"本科"</f>
        <v>本科</v>
      </c>
      <c r="Q222" t="str">
        <f>"无"</f>
        <v>无</v>
      </c>
      <c r="R222" t="str">
        <f>"学前教育"</f>
        <v>学前教育</v>
      </c>
      <c r="S222" t="str">
        <f>"安徽师范大学"</f>
        <v>安徽师范大学</v>
      </c>
      <c r="T222" t="str">
        <f>"2023.6"</f>
        <v>2023.6</v>
      </c>
      <c r="U222" t="str">
        <f>"幼儿园教师资格证"</f>
        <v>幼儿园教师资格证</v>
      </c>
      <c r="V222" t="str">
        <f>"无"</f>
        <v>无</v>
      </c>
      <c r="W222" t="str">
        <f t="shared" si="97"/>
        <v>无</v>
      </c>
      <c r="X222" t="str">
        <f>"是"</f>
        <v>是</v>
      </c>
      <c r="Y222" t="str">
        <f>"无"</f>
        <v>无</v>
      </c>
      <c r="Z222" t="str">
        <f>"19810658403"</f>
        <v>19810658403</v>
      </c>
      <c r="AA222" t="str">
        <f>"安徽省合肥市肥东县白龙镇"</f>
        <v>安徽省合肥市肥东县白龙镇</v>
      </c>
      <c r="AB222" s="1" t="str">
        <f>"2015.9-2018.6 肥东圣泉中学 学生
2018.9-2021.6 合肥幼儿师范高等专科学校 学生
2021.6-2023.6 安徽师范大学 学生"</f>
        <v>2015.9-2018.6 肥东圣泉中学 学生
2018.9-2021.6 合肥幼儿师范高等专科学校 学生
2021.6-2023.6 安徽师范大学 学生</v>
      </c>
      <c r="AC222" t="str">
        <f>"获得过奖学金"</f>
        <v>获得过奖学金</v>
      </c>
      <c r="AD222" t="str">
        <f>"唱歌、绘画、手工"</f>
        <v>唱歌、绘画、手工</v>
      </c>
      <c r="AE222" t="str">
        <f>"父亲|陈明旺|无|务工|母亲|黄有云|现代牧业|工人|弟弟|陈瑞|安徽师范大学|学生"</f>
        <v>父亲|陈明旺|无|务工|母亲|黄有云|现代牧业|工人|弟弟|陈瑞|安徽师范大学|学生</v>
      </c>
      <c r="AF222" s="2">
        <v>44988.37621527778</v>
      </c>
      <c r="AG222">
        <v>1</v>
      </c>
      <c r="AH222">
        <v>1</v>
      </c>
      <c r="AI222">
        <v>0</v>
      </c>
      <c r="AJ222" t="s">
        <v>263</v>
      </c>
      <c r="AK222" s="4">
        <v>70.3</v>
      </c>
      <c r="AL222" s="4">
        <v>72.5</v>
      </c>
      <c r="AM222" s="4">
        <v>71.4</v>
      </c>
      <c r="AN222">
        <v>0</v>
      </c>
    </row>
  </sheetData>
  <sheetProtection/>
  <autoFilter ref="A1:AP222">
    <sortState ref="A2:AP222">
      <sortCondition sortBy="value" ref="B2:B222"/>
    </sortState>
  </autoFilter>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5"/>
  <sheetViews>
    <sheetView tabSelected="1" workbookViewId="0" topLeftCell="A1">
      <pane ySplit="1" topLeftCell="A2" activePane="bottomLeft" state="frozen"/>
      <selection pane="topLeft" activeCell="A1" sqref="A1"/>
      <selection pane="bottomLeft" activeCell="A1" sqref="A1:J16384"/>
    </sheetView>
  </sheetViews>
  <sheetFormatPr defaultColWidth="9.140625" defaultRowHeight="15"/>
  <cols>
    <col min="1" max="1" width="9.00390625" style="13" customWidth="1"/>
    <col min="2" max="2" width="16.28125" style="13" customWidth="1"/>
    <col min="3" max="3" width="9.8515625" style="13" customWidth="1"/>
    <col min="4" max="4" width="21.140625" style="13" customWidth="1"/>
    <col min="5" max="5" width="14.421875" style="13" customWidth="1"/>
    <col min="6" max="6" width="9.00390625" style="13" customWidth="1"/>
    <col min="7" max="7" width="11.57421875" style="12" customWidth="1"/>
    <col min="8" max="8" width="10.57421875" style="13" customWidth="1"/>
    <col min="9" max="16384" width="9.00390625" style="13" customWidth="1"/>
  </cols>
  <sheetData>
    <row r="1" spans="1:9" ht="35.25" customHeight="1">
      <c r="A1" s="6" t="s">
        <v>276</v>
      </c>
      <c r="B1" s="6" t="s">
        <v>1</v>
      </c>
      <c r="C1" s="6" t="s">
        <v>2</v>
      </c>
      <c r="D1" s="6" t="s">
        <v>8</v>
      </c>
      <c r="E1" s="6" t="s">
        <v>35</v>
      </c>
      <c r="F1" s="6" t="s">
        <v>270</v>
      </c>
      <c r="G1" s="5" t="s">
        <v>271</v>
      </c>
      <c r="H1" s="6" t="s">
        <v>272</v>
      </c>
      <c r="I1" s="7" t="s">
        <v>404</v>
      </c>
    </row>
    <row r="2" spans="1:9" ht="18" customHeight="1">
      <c r="A2" s="8">
        <v>1</v>
      </c>
      <c r="B2" s="8" t="s">
        <v>49</v>
      </c>
      <c r="C2" s="8" t="s">
        <v>277</v>
      </c>
      <c r="D2" s="8" t="s">
        <v>278</v>
      </c>
      <c r="E2" s="8" t="s">
        <v>273</v>
      </c>
      <c r="F2" s="8" t="s">
        <v>273</v>
      </c>
      <c r="G2" s="9">
        <v>1</v>
      </c>
      <c r="H2" s="10">
        <v>85.33</v>
      </c>
      <c r="I2" s="10">
        <v>85.33</v>
      </c>
    </row>
    <row r="3" spans="1:9" ht="18" customHeight="1">
      <c r="A3" s="8">
        <v>2</v>
      </c>
      <c r="B3" s="8" t="s">
        <v>49</v>
      </c>
      <c r="C3" s="8" t="s">
        <v>279</v>
      </c>
      <c r="D3" s="8" t="s">
        <v>280</v>
      </c>
      <c r="E3" s="8" t="s">
        <v>273</v>
      </c>
      <c r="F3" s="8" t="s">
        <v>273</v>
      </c>
      <c r="G3" s="9">
        <v>2</v>
      </c>
      <c r="H3" s="10">
        <v>78.67</v>
      </c>
      <c r="I3" s="10">
        <v>78.67</v>
      </c>
    </row>
    <row r="4" spans="1:9" ht="18" customHeight="1">
      <c r="A4" s="8">
        <v>3</v>
      </c>
      <c r="B4" s="8" t="s">
        <v>49</v>
      </c>
      <c r="C4" s="8" t="s">
        <v>281</v>
      </c>
      <c r="D4" s="8" t="s">
        <v>282</v>
      </c>
      <c r="E4" s="8" t="s">
        <v>273</v>
      </c>
      <c r="F4" s="8" t="s">
        <v>273</v>
      </c>
      <c r="G4" s="9">
        <v>3</v>
      </c>
      <c r="H4" s="10">
        <v>82.33</v>
      </c>
      <c r="I4" s="10">
        <v>82.33</v>
      </c>
    </row>
    <row r="5" spans="1:9" ht="18" customHeight="1">
      <c r="A5" s="8">
        <v>4</v>
      </c>
      <c r="B5" s="8" t="s">
        <v>46</v>
      </c>
      <c r="C5" s="8" t="s">
        <v>283</v>
      </c>
      <c r="D5" s="8" t="s">
        <v>284</v>
      </c>
      <c r="E5" s="8" t="s">
        <v>273</v>
      </c>
      <c r="F5" s="8" t="s">
        <v>273</v>
      </c>
      <c r="G5" s="9">
        <v>1</v>
      </c>
      <c r="H5" s="10">
        <v>82.33</v>
      </c>
      <c r="I5" s="10">
        <v>82.33</v>
      </c>
    </row>
    <row r="6" spans="1:9" ht="18" customHeight="1">
      <c r="A6" s="8">
        <v>5</v>
      </c>
      <c r="B6" s="8" t="s">
        <v>46</v>
      </c>
      <c r="C6" s="8" t="s">
        <v>285</v>
      </c>
      <c r="D6" s="8" t="s">
        <v>286</v>
      </c>
      <c r="E6" s="8" t="s">
        <v>273</v>
      </c>
      <c r="F6" s="8" t="s">
        <v>273</v>
      </c>
      <c r="G6" s="9">
        <v>2</v>
      </c>
      <c r="H6" s="10">
        <v>84.67</v>
      </c>
      <c r="I6" s="10">
        <v>84.67</v>
      </c>
    </row>
    <row r="7" spans="1:9" ht="18" customHeight="1">
      <c r="A7" s="8">
        <v>6</v>
      </c>
      <c r="B7" s="8" t="s">
        <v>43</v>
      </c>
      <c r="C7" s="8" t="s">
        <v>287</v>
      </c>
      <c r="D7" s="8" t="s">
        <v>288</v>
      </c>
      <c r="E7" s="8" t="s">
        <v>273</v>
      </c>
      <c r="F7" s="8" t="s">
        <v>273</v>
      </c>
      <c r="G7" s="9">
        <v>1</v>
      </c>
      <c r="H7" s="10">
        <v>78.33</v>
      </c>
      <c r="I7" s="10">
        <v>78.33</v>
      </c>
    </row>
    <row r="8" spans="1:9" ht="18" customHeight="1">
      <c r="A8" s="8">
        <v>7</v>
      </c>
      <c r="B8" s="8" t="s">
        <v>43</v>
      </c>
      <c r="C8" s="8" t="s">
        <v>289</v>
      </c>
      <c r="D8" s="8" t="s">
        <v>290</v>
      </c>
      <c r="E8" s="8" t="s">
        <v>273</v>
      </c>
      <c r="F8" s="8" t="s">
        <v>273</v>
      </c>
      <c r="G8" s="9">
        <v>2</v>
      </c>
      <c r="H8" s="10">
        <v>72.67</v>
      </c>
      <c r="I8" s="10">
        <v>72.67</v>
      </c>
    </row>
    <row r="9" spans="1:9" ht="18" customHeight="1">
      <c r="A9" s="8">
        <v>8</v>
      </c>
      <c r="B9" s="8" t="s">
        <v>43</v>
      </c>
      <c r="C9" s="8" t="s">
        <v>291</v>
      </c>
      <c r="D9" s="8" t="s">
        <v>292</v>
      </c>
      <c r="E9" s="8" t="s">
        <v>273</v>
      </c>
      <c r="F9" s="8" t="s">
        <v>273</v>
      </c>
      <c r="G9" s="9">
        <v>3</v>
      </c>
      <c r="H9" s="10" t="s">
        <v>275</v>
      </c>
      <c r="I9" s="10" t="s">
        <v>274</v>
      </c>
    </row>
    <row r="10" spans="1:9" ht="18" customHeight="1">
      <c r="A10" s="8">
        <v>9</v>
      </c>
      <c r="B10" s="8" t="s">
        <v>43</v>
      </c>
      <c r="C10" s="8" t="s">
        <v>293</v>
      </c>
      <c r="D10" s="8" t="s">
        <v>294</v>
      </c>
      <c r="E10" s="8" t="s">
        <v>273</v>
      </c>
      <c r="F10" s="8" t="s">
        <v>273</v>
      </c>
      <c r="G10" s="9">
        <v>4</v>
      </c>
      <c r="H10" s="10">
        <v>83</v>
      </c>
      <c r="I10" s="10">
        <v>83</v>
      </c>
    </row>
    <row r="11" spans="1:9" ht="18" customHeight="1">
      <c r="A11" s="8">
        <v>10</v>
      </c>
      <c r="B11" s="8" t="s">
        <v>43</v>
      </c>
      <c r="C11" s="8" t="s">
        <v>295</v>
      </c>
      <c r="D11" s="8" t="s">
        <v>296</v>
      </c>
      <c r="E11" s="8" t="s">
        <v>273</v>
      </c>
      <c r="F11" s="8" t="s">
        <v>273</v>
      </c>
      <c r="G11" s="9">
        <v>5</v>
      </c>
      <c r="H11" s="10">
        <v>85</v>
      </c>
      <c r="I11" s="10">
        <v>85</v>
      </c>
    </row>
    <row r="12" spans="1:9" ht="18" customHeight="1">
      <c r="A12" s="8">
        <v>11</v>
      </c>
      <c r="B12" s="8" t="s">
        <v>44</v>
      </c>
      <c r="C12" s="8" t="s">
        <v>297</v>
      </c>
      <c r="D12" s="8" t="s">
        <v>298</v>
      </c>
      <c r="E12" s="8" t="s">
        <v>203</v>
      </c>
      <c r="F12" s="11">
        <v>67.80000000000001</v>
      </c>
      <c r="G12" s="9">
        <v>1</v>
      </c>
      <c r="H12" s="10">
        <v>67.5</v>
      </c>
      <c r="I12" s="10">
        <v>67.62</v>
      </c>
    </row>
    <row r="13" spans="1:9" ht="18" customHeight="1">
      <c r="A13" s="8">
        <v>12</v>
      </c>
      <c r="B13" s="8" t="s">
        <v>44</v>
      </c>
      <c r="C13" s="8" t="s">
        <v>299</v>
      </c>
      <c r="D13" s="8" t="s">
        <v>300</v>
      </c>
      <c r="E13" s="8" t="s">
        <v>128</v>
      </c>
      <c r="F13" s="11">
        <v>68.15</v>
      </c>
      <c r="G13" s="9">
        <v>2</v>
      </c>
      <c r="H13" s="10">
        <v>68.17</v>
      </c>
      <c r="I13" s="10">
        <v>68.162</v>
      </c>
    </row>
    <row r="14" spans="1:9" ht="18" customHeight="1">
      <c r="A14" s="8">
        <v>13</v>
      </c>
      <c r="B14" s="8" t="s">
        <v>44</v>
      </c>
      <c r="C14" s="8" t="s">
        <v>301</v>
      </c>
      <c r="D14" s="8" t="s">
        <v>302</v>
      </c>
      <c r="E14" s="8" t="s">
        <v>222</v>
      </c>
      <c r="F14" s="11">
        <v>71.4</v>
      </c>
      <c r="G14" s="9">
        <v>3</v>
      </c>
      <c r="H14" s="10">
        <v>76</v>
      </c>
      <c r="I14" s="10">
        <v>74.16</v>
      </c>
    </row>
    <row r="15" spans="1:9" ht="18" customHeight="1">
      <c r="A15" s="8">
        <v>14</v>
      </c>
      <c r="B15" s="8" t="s">
        <v>44</v>
      </c>
      <c r="C15" s="8" t="s">
        <v>303</v>
      </c>
      <c r="D15" s="8" t="s">
        <v>304</v>
      </c>
      <c r="E15" s="8" t="s">
        <v>72</v>
      </c>
      <c r="F15" s="11">
        <v>74.4</v>
      </c>
      <c r="G15" s="9">
        <v>4</v>
      </c>
      <c r="H15" s="10">
        <v>72.03</v>
      </c>
      <c r="I15" s="10">
        <v>72.97800000000001</v>
      </c>
    </row>
    <row r="16" spans="1:9" ht="18" customHeight="1">
      <c r="A16" s="8">
        <v>15</v>
      </c>
      <c r="B16" s="8" t="s">
        <v>44</v>
      </c>
      <c r="C16" s="8" t="s">
        <v>305</v>
      </c>
      <c r="D16" s="8" t="s">
        <v>306</v>
      </c>
      <c r="E16" s="8" t="s">
        <v>159</v>
      </c>
      <c r="F16" s="11">
        <v>73.69999999999999</v>
      </c>
      <c r="G16" s="9">
        <v>5</v>
      </c>
      <c r="H16" s="10">
        <v>66.43</v>
      </c>
      <c r="I16" s="10">
        <v>69.338</v>
      </c>
    </row>
    <row r="17" spans="1:9" ht="18" customHeight="1">
      <c r="A17" s="8">
        <v>16</v>
      </c>
      <c r="B17" s="8" t="s">
        <v>44</v>
      </c>
      <c r="C17" s="8" t="s">
        <v>307</v>
      </c>
      <c r="D17" s="8" t="s">
        <v>308</v>
      </c>
      <c r="E17" s="8" t="s">
        <v>129</v>
      </c>
      <c r="F17" s="11">
        <v>71.7</v>
      </c>
      <c r="G17" s="9">
        <v>6</v>
      </c>
      <c r="H17" s="10">
        <v>75.6</v>
      </c>
      <c r="I17" s="10">
        <v>74.03999999999999</v>
      </c>
    </row>
    <row r="18" spans="1:9" ht="18" customHeight="1">
      <c r="A18" s="8">
        <v>17</v>
      </c>
      <c r="B18" s="8" t="s">
        <v>44</v>
      </c>
      <c r="C18" s="8" t="s">
        <v>309</v>
      </c>
      <c r="D18" s="8" t="s">
        <v>310</v>
      </c>
      <c r="E18" s="8" t="s">
        <v>132</v>
      </c>
      <c r="F18" s="11">
        <v>68.55</v>
      </c>
      <c r="G18" s="9">
        <v>7</v>
      </c>
      <c r="H18" s="10">
        <v>70.9</v>
      </c>
      <c r="I18" s="10">
        <v>69.96000000000001</v>
      </c>
    </row>
    <row r="19" spans="1:9" ht="18" customHeight="1">
      <c r="A19" s="8">
        <v>18</v>
      </c>
      <c r="B19" s="8" t="s">
        <v>44</v>
      </c>
      <c r="C19" s="8" t="s">
        <v>311</v>
      </c>
      <c r="D19" s="8" t="s">
        <v>312</v>
      </c>
      <c r="E19" s="8" t="s">
        <v>146</v>
      </c>
      <c r="F19" s="11">
        <v>67.5</v>
      </c>
      <c r="G19" s="9">
        <v>8</v>
      </c>
      <c r="H19" s="10">
        <v>70.57</v>
      </c>
      <c r="I19" s="10">
        <v>69.34199999999998</v>
      </c>
    </row>
    <row r="20" spans="1:9" ht="18" customHeight="1">
      <c r="A20" s="8">
        <v>19</v>
      </c>
      <c r="B20" s="8" t="s">
        <v>44</v>
      </c>
      <c r="C20" s="8" t="s">
        <v>313</v>
      </c>
      <c r="D20" s="8" t="s">
        <v>314</v>
      </c>
      <c r="E20" s="8" t="s">
        <v>66</v>
      </c>
      <c r="F20" s="11">
        <v>69.94999999999999</v>
      </c>
      <c r="G20" s="9">
        <v>9</v>
      </c>
      <c r="H20" s="10">
        <v>64.37</v>
      </c>
      <c r="I20" s="10">
        <v>66.602</v>
      </c>
    </row>
    <row r="21" spans="1:9" ht="18" customHeight="1">
      <c r="A21" s="8">
        <v>20</v>
      </c>
      <c r="B21" s="8" t="s">
        <v>44</v>
      </c>
      <c r="C21" s="8" t="s">
        <v>315</v>
      </c>
      <c r="D21" s="8" t="s">
        <v>316</v>
      </c>
      <c r="E21" s="8" t="s">
        <v>100</v>
      </c>
      <c r="F21" s="11">
        <v>68.8</v>
      </c>
      <c r="G21" s="9">
        <v>10</v>
      </c>
      <c r="H21" s="10">
        <v>70.33</v>
      </c>
      <c r="I21" s="10">
        <v>69.718</v>
      </c>
    </row>
    <row r="22" spans="1:9" ht="18" customHeight="1">
      <c r="A22" s="8">
        <v>21</v>
      </c>
      <c r="B22" s="8" t="s">
        <v>44</v>
      </c>
      <c r="C22" s="8" t="s">
        <v>317</v>
      </c>
      <c r="D22" s="8" t="s">
        <v>318</v>
      </c>
      <c r="E22" s="8" t="s">
        <v>121</v>
      </c>
      <c r="F22" s="11">
        <v>68.6</v>
      </c>
      <c r="G22" s="9">
        <v>11</v>
      </c>
      <c r="H22" s="10">
        <v>75.17</v>
      </c>
      <c r="I22" s="10">
        <v>72.542</v>
      </c>
    </row>
    <row r="23" spans="1:9" ht="18" customHeight="1">
      <c r="A23" s="8">
        <v>22</v>
      </c>
      <c r="B23" s="8" t="s">
        <v>44</v>
      </c>
      <c r="C23" s="8" t="s">
        <v>319</v>
      </c>
      <c r="D23" s="8" t="s">
        <v>320</v>
      </c>
      <c r="E23" s="8" t="s">
        <v>208</v>
      </c>
      <c r="F23" s="11">
        <v>77.2</v>
      </c>
      <c r="G23" s="9">
        <v>12</v>
      </c>
      <c r="H23" s="10">
        <v>69.5</v>
      </c>
      <c r="I23" s="10">
        <v>72.58</v>
      </c>
    </row>
    <row r="24" spans="1:9" ht="18" customHeight="1">
      <c r="A24" s="8">
        <v>23</v>
      </c>
      <c r="B24" s="8" t="s">
        <v>44</v>
      </c>
      <c r="C24" s="8" t="s">
        <v>321</v>
      </c>
      <c r="D24" s="8" t="s">
        <v>322</v>
      </c>
      <c r="E24" s="8" t="s">
        <v>262</v>
      </c>
      <c r="F24" s="11">
        <v>73.7</v>
      </c>
      <c r="G24" s="9">
        <v>13</v>
      </c>
      <c r="H24" s="10">
        <v>74.23</v>
      </c>
      <c r="I24" s="10">
        <v>74.018</v>
      </c>
    </row>
    <row r="25" spans="1:9" ht="18" customHeight="1">
      <c r="A25" s="8">
        <v>24</v>
      </c>
      <c r="B25" s="8" t="s">
        <v>44</v>
      </c>
      <c r="C25" s="8" t="s">
        <v>323</v>
      </c>
      <c r="D25" s="8" t="s">
        <v>324</v>
      </c>
      <c r="E25" s="8" t="s">
        <v>190</v>
      </c>
      <c r="F25" s="11">
        <v>75.2</v>
      </c>
      <c r="G25" s="9">
        <v>14</v>
      </c>
      <c r="H25" s="10">
        <v>69.73</v>
      </c>
      <c r="I25" s="10">
        <v>71.918</v>
      </c>
    </row>
    <row r="26" spans="1:9" ht="18" customHeight="1">
      <c r="A26" s="8">
        <v>25</v>
      </c>
      <c r="B26" s="8" t="s">
        <v>44</v>
      </c>
      <c r="C26" s="8" t="s">
        <v>325</v>
      </c>
      <c r="D26" s="8" t="s">
        <v>326</v>
      </c>
      <c r="E26" s="8" t="s">
        <v>179</v>
      </c>
      <c r="F26" s="11">
        <v>72.69999999999999</v>
      </c>
      <c r="G26" s="9">
        <v>15</v>
      </c>
      <c r="H26" s="10">
        <v>72.23</v>
      </c>
      <c r="I26" s="10">
        <v>72.418</v>
      </c>
    </row>
    <row r="27" spans="1:9" ht="18" customHeight="1">
      <c r="A27" s="8">
        <v>26</v>
      </c>
      <c r="B27" s="8" t="s">
        <v>44</v>
      </c>
      <c r="C27" s="8" t="s">
        <v>327</v>
      </c>
      <c r="D27" s="8" t="s">
        <v>328</v>
      </c>
      <c r="E27" s="8" t="s">
        <v>142</v>
      </c>
      <c r="F27" s="11">
        <v>67.85</v>
      </c>
      <c r="G27" s="9">
        <v>16</v>
      </c>
      <c r="H27" s="10">
        <v>80.63</v>
      </c>
      <c r="I27" s="10">
        <v>75.518</v>
      </c>
    </row>
    <row r="28" spans="1:9" ht="18" customHeight="1">
      <c r="A28" s="8">
        <v>27</v>
      </c>
      <c r="B28" s="8" t="s">
        <v>44</v>
      </c>
      <c r="C28" s="8" t="s">
        <v>329</v>
      </c>
      <c r="D28" s="8" t="s">
        <v>330</v>
      </c>
      <c r="E28" s="8" t="s">
        <v>187</v>
      </c>
      <c r="F28" s="11">
        <v>69</v>
      </c>
      <c r="G28" s="9">
        <v>17</v>
      </c>
      <c r="H28" s="10">
        <v>74.17</v>
      </c>
      <c r="I28" s="10">
        <v>72.102</v>
      </c>
    </row>
    <row r="29" spans="1:9" ht="18" customHeight="1">
      <c r="A29" s="8">
        <v>28</v>
      </c>
      <c r="B29" s="8" t="s">
        <v>44</v>
      </c>
      <c r="C29" s="8" t="s">
        <v>331</v>
      </c>
      <c r="D29" s="8" t="s">
        <v>332</v>
      </c>
      <c r="E29" s="8" t="s">
        <v>101</v>
      </c>
      <c r="F29" s="11">
        <v>73.55000000000001</v>
      </c>
      <c r="G29" s="9">
        <v>18</v>
      </c>
      <c r="H29" s="10">
        <v>72.43</v>
      </c>
      <c r="I29" s="10">
        <v>72.87800000000001</v>
      </c>
    </row>
    <row r="30" spans="1:9" ht="18" customHeight="1">
      <c r="A30" s="8">
        <v>29</v>
      </c>
      <c r="B30" s="8" t="s">
        <v>44</v>
      </c>
      <c r="C30" s="8" t="s">
        <v>333</v>
      </c>
      <c r="D30" s="8" t="s">
        <v>334</v>
      </c>
      <c r="E30" s="8" t="s">
        <v>98</v>
      </c>
      <c r="F30" s="11">
        <v>69.35</v>
      </c>
      <c r="G30" s="9">
        <v>19</v>
      </c>
      <c r="H30" s="10">
        <v>61.07</v>
      </c>
      <c r="I30" s="10">
        <v>64.38199999999999</v>
      </c>
    </row>
    <row r="31" spans="1:9" ht="18" customHeight="1">
      <c r="A31" s="8">
        <v>30</v>
      </c>
      <c r="B31" s="8" t="s">
        <v>44</v>
      </c>
      <c r="C31" s="8" t="s">
        <v>335</v>
      </c>
      <c r="D31" s="8" t="s">
        <v>336</v>
      </c>
      <c r="E31" s="8" t="s">
        <v>204</v>
      </c>
      <c r="F31" s="11">
        <v>77.1</v>
      </c>
      <c r="G31" s="9">
        <v>20</v>
      </c>
      <c r="H31" s="10">
        <v>67.97</v>
      </c>
      <c r="I31" s="10">
        <v>71.622</v>
      </c>
    </row>
    <row r="32" spans="1:9" ht="18" customHeight="1">
      <c r="A32" s="8">
        <v>31</v>
      </c>
      <c r="B32" s="8" t="s">
        <v>44</v>
      </c>
      <c r="C32" s="8" t="s">
        <v>337</v>
      </c>
      <c r="D32" s="8" t="s">
        <v>338</v>
      </c>
      <c r="E32" s="8" t="s">
        <v>191</v>
      </c>
      <c r="F32" s="11">
        <v>68.1</v>
      </c>
      <c r="G32" s="9">
        <v>21</v>
      </c>
      <c r="H32" s="10">
        <v>59.2</v>
      </c>
      <c r="I32" s="10">
        <v>62.760000000000005</v>
      </c>
    </row>
    <row r="33" spans="1:9" ht="18" customHeight="1">
      <c r="A33" s="8">
        <v>32</v>
      </c>
      <c r="B33" s="8" t="s">
        <v>44</v>
      </c>
      <c r="C33" s="8" t="s">
        <v>339</v>
      </c>
      <c r="D33" s="8" t="s">
        <v>340</v>
      </c>
      <c r="E33" s="8" t="s">
        <v>144</v>
      </c>
      <c r="F33" s="11">
        <v>67.69999999999999</v>
      </c>
      <c r="G33" s="9">
        <v>22</v>
      </c>
      <c r="H33" s="10">
        <v>63.33</v>
      </c>
      <c r="I33" s="10">
        <v>65.078</v>
      </c>
    </row>
    <row r="34" spans="1:9" ht="18" customHeight="1">
      <c r="A34" s="8">
        <v>33</v>
      </c>
      <c r="B34" s="8" t="s">
        <v>44</v>
      </c>
      <c r="C34" s="8" t="s">
        <v>341</v>
      </c>
      <c r="D34" s="8" t="s">
        <v>342</v>
      </c>
      <c r="E34" s="8" t="s">
        <v>88</v>
      </c>
      <c r="F34" s="11">
        <v>78.75</v>
      </c>
      <c r="G34" s="9">
        <v>23</v>
      </c>
      <c r="H34" s="10">
        <v>77.93</v>
      </c>
      <c r="I34" s="10">
        <v>78.25800000000001</v>
      </c>
    </row>
    <row r="35" spans="1:9" ht="18" customHeight="1">
      <c r="A35" s="8">
        <v>34</v>
      </c>
      <c r="B35" s="8" t="s">
        <v>44</v>
      </c>
      <c r="C35" s="8" t="s">
        <v>343</v>
      </c>
      <c r="D35" s="8" t="s">
        <v>344</v>
      </c>
      <c r="E35" s="8" t="s">
        <v>240</v>
      </c>
      <c r="F35" s="11">
        <v>73.2</v>
      </c>
      <c r="G35" s="9">
        <v>24</v>
      </c>
      <c r="H35" s="10">
        <v>67.7</v>
      </c>
      <c r="I35" s="10">
        <v>69.9</v>
      </c>
    </row>
    <row r="36" spans="1:9" ht="18" customHeight="1">
      <c r="A36" s="8">
        <v>35</v>
      </c>
      <c r="B36" s="8" t="s">
        <v>44</v>
      </c>
      <c r="C36" s="8" t="s">
        <v>345</v>
      </c>
      <c r="D36" s="8" t="s">
        <v>346</v>
      </c>
      <c r="E36" s="8" t="s">
        <v>234</v>
      </c>
      <c r="F36" s="11">
        <v>66.45</v>
      </c>
      <c r="G36" s="9">
        <v>25</v>
      </c>
      <c r="H36" s="10">
        <v>73.47</v>
      </c>
      <c r="I36" s="10">
        <v>70.662</v>
      </c>
    </row>
    <row r="37" spans="1:9" ht="18" customHeight="1">
      <c r="A37" s="8">
        <v>36</v>
      </c>
      <c r="B37" s="8" t="s">
        <v>44</v>
      </c>
      <c r="C37" s="8" t="s">
        <v>347</v>
      </c>
      <c r="D37" s="8" t="s">
        <v>348</v>
      </c>
      <c r="E37" s="8" t="s">
        <v>86</v>
      </c>
      <c r="F37" s="11">
        <v>70.15</v>
      </c>
      <c r="G37" s="9">
        <v>26</v>
      </c>
      <c r="H37" s="10">
        <v>62.83</v>
      </c>
      <c r="I37" s="10">
        <v>65.75800000000001</v>
      </c>
    </row>
    <row r="38" spans="1:9" ht="18" customHeight="1">
      <c r="A38" s="8">
        <v>37</v>
      </c>
      <c r="B38" s="8" t="s">
        <v>44</v>
      </c>
      <c r="C38" s="8" t="s">
        <v>349</v>
      </c>
      <c r="D38" s="8" t="s">
        <v>350</v>
      </c>
      <c r="E38" s="8" t="s">
        <v>93</v>
      </c>
      <c r="F38" s="11">
        <v>71.4</v>
      </c>
      <c r="G38" s="9">
        <v>27</v>
      </c>
      <c r="H38" s="10">
        <v>65.3</v>
      </c>
      <c r="I38" s="10">
        <v>67.74000000000001</v>
      </c>
    </row>
    <row r="39" spans="1:9" ht="18" customHeight="1">
      <c r="A39" s="8">
        <v>38</v>
      </c>
      <c r="B39" s="8" t="s">
        <v>44</v>
      </c>
      <c r="C39" s="8" t="s">
        <v>351</v>
      </c>
      <c r="D39" s="8" t="s">
        <v>352</v>
      </c>
      <c r="E39" s="8" t="s">
        <v>76</v>
      </c>
      <c r="F39" s="11">
        <v>68.4</v>
      </c>
      <c r="G39" s="9">
        <v>28</v>
      </c>
      <c r="H39" s="10">
        <v>75.8</v>
      </c>
      <c r="I39" s="10">
        <v>72.84</v>
      </c>
    </row>
    <row r="40" spans="1:9" ht="18" customHeight="1">
      <c r="A40" s="8">
        <v>39</v>
      </c>
      <c r="B40" s="8" t="s">
        <v>44</v>
      </c>
      <c r="C40" s="8" t="s">
        <v>353</v>
      </c>
      <c r="D40" s="8" t="s">
        <v>354</v>
      </c>
      <c r="E40" s="8" t="s">
        <v>194</v>
      </c>
      <c r="F40" s="11">
        <v>76.8</v>
      </c>
      <c r="G40" s="9">
        <v>29</v>
      </c>
      <c r="H40" s="10">
        <v>70.33</v>
      </c>
      <c r="I40" s="10">
        <v>72.918</v>
      </c>
    </row>
    <row r="41" spans="1:9" ht="18" customHeight="1">
      <c r="A41" s="8">
        <v>40</v>
      </c>
      <c r="B41" s="8" t="s">
        <v>44</v>
      </c>
      <c r="C41" s="8" t="s">
        <v>355</v>
      </c>
      <c r="D41" s="8" t="s">
        <v>356</v>
      </c>
      <c r="E41" s="8" t="s">
        <v>158</v>
      </c>
      <c r="F41" s="11">
        <v>71.85</v>
      </c>
      <c r="G41" s="9">
        <v>30</v>
      </c>
      <c r="H41" s="10">
        <v>67.47</v>
      </c>
      <c r="I41" s="10">
        <v>69.222</v>
      </c>
    </row>
    <row r="42" spans="1:9" ht="18" customHeight="1">
      <c r="A42" s="8">
        <v>41</v>
      </c>
      <c r="B42" s="8" t="s">
        <v>44</v>
      </c>
      <c r="C42" s="8" t="s">
        <v>357</v>
      </c>
      <c r="D42" s="8" t="s">
        <v>358</v>
      </c>
      <c r="E42" s="8" t="s">
        <v>232</v>
      </c>
      <c r="F42" s="11">
        <v>73.55</v>
      </c>
      <c r="G42" s="9">
        <v>31</v>
      </c>
      <c r="H42" s="10">
        <v>75.9</v>
      </c>
      <c r="I42" s="10">
        <v>74.96000000000001</v>
      </c>
    </row>
    <row r="43" spans="1:9" ht="18" customHeight="1">
      <c r="A43" s="8">
        <v>42</v>
      </c>
      <c r="B43" s="8" t="s">
        <v>44</v>
      </c>
      <c r="C43" s="8" t="s">
        <v>359</v>
      </c>
      <c r="D43" s="8" t="s">
        <v>360</v>
      </c>
      <c r="E43" s="8" t="s">
        <v>64</v>
      </c>
      <c r="F43" s="11">
        <v>75.4</v>
      </c>
      <c r="G43" s="9">
        <v>32</v>
      </c>
      <c r="H43" s="10">
        <v>32.77</v>
      </c>
      <c r="I43" s="10">
        <v>49.822</v>
      </c>
    </row>
    <row r="44" spans="1:9" ht="18" customHeight="1">
      <c r="A44" s="8">
        <v>43</v>
      </c>
      <c r="B44" s="8" t="s">
        <v>44</v>
      </c>
      <c r="C44" s="8" t="s">
        <v>361</v>
      </c>
      <c r="D44" s="8" t="s">
        <v>362</v>
      </c>
      <c r="E44" s="8" t="s">
        <v>255</v>
      </c>
      <c r="F44" s="11">
        <v>76.4</v>
      </c>
      <c r="G44" s="9">
        <v>33</v>
      </c>
      <c r="H44" s="10">
        <v>70.73</v>
      </c>
      <c r="I44" s="10">
        <v>72.998</v>
      </c>
    </row>
    <row r="45" spans="1:9" ht="18" customHeight="1">
      <c r="A45" s="8">
        <v>44</v>
      </c>
      <c r="B45" s="8" t="s">
        <v>44</v>
      </c>
      <c r="C45" s="8" t="s">
        <v>363</v>
      </c>
      <c r="D45" s="8" t="s">
        <v>364</v>
      </c>
      <c r="E45" s="8" t="s">
        <v>263</v>
      </c>
      <c r="F45" s="11">
        <v>71.4</v>
      </c>
      <c r="G45" s="9">
        <v>34</v>
      </c>
      <c r="H45" s="10">
        <v>69.93</v>
      </c>
      <c r="I45" s="10">
        <v>70.518</v>
      </c>
    </row>
    <row r="46" spans="1:9" ht="18" customHeight="1">
      <c r="A46" s="8">
        <v>45</v>
      </c>
      <c r="B46" s="8" t="s">
        <v>44</v>
      </c>
      <c r="C46" s="8" t="s">
        <v>365</v>
      </c>
      <c r="D46" s="8" t="s">
        <v>366</v>
      </c>
      <c r="E46" s="8" t="s">
        <v>119</v>
      </c>
      <c r="F46" s="11">
        <v>71.5</v>
      </c>
      <c r="G46" s="9">
        <v>35</v>
      </c>
      <c r="H46" s="10">
        <v>74.4</v>
      </c>
      <c r="I46" s="10">
        <v>73.24000000000001</v>
      </c>
    </row>
    <row r="47" spans="1:9" ht="18" customHeight="1">
      <c r="A47" s="8">
        <v>46</v>
      </c>
      <c r="B47" s="8" t="s">
        <v>44</v>
      </c>
      <c r="C47" s="8" t="s">
        <v>367</v>
      </c>
      <c r="D47" s="8" t="s">
        <v>368</v>
      </c>
      <c r="E47" s="8" t="s">
        <v>189</v>
      </c>
      <c r="F47" s="11">
        <v>68.65</v>
      </c>
      <c r="G47" s="9">
        <v>36</v>
      </c>
      <c r="H47" s="10">
        <v>72.77</v>
      </c>
      <c r="I47" s="10">
        <v>71.122</v>
      </c>
    </row>
    <row r="48" spans="1:9" ht="18" customHeight="1">
      <c r="A48" s="8">
        <v>47</v>
      </c>
      <c r="B48" s="8" t="s">
        <v>44</v>
      </c>
      <c r="C48" s="8" t="s">
        <v>369</v>
      </c>
      <c r="D48" s="8" t="s">
        <v>370</v>
      </c>
      <c r="E48" s="8" t="s">
        <v>136</v>
      </c>
      <c r="F48" s="11">
        <v>66.8</v>
      </c>
      <c r="G48" s="9">
        <v>37</v>
      </c>
      <c r="H48" s="10">
        <v>76.27</v>
      </c>
      <c r="I48" s="10">
        <v>72.482</v>
      </c>
    </row>
    <row r="49" spans="1:9" ht="18" customHeight="1">
      <c r="A49" s="8">
        <v>48</v>
      </c>
      <c r="B49" s="8" t="s">
        <v>44</v>
      </c>
      <c r="C49" s="8" t="s">
        <v>371</v>
      </c>
      <c r="D49" s="8" t="s">
        <v>372</v>
      </c>
      <c r="E49" s="8" t="s">
        <v>250</v>
      </c>
      <c r="F49" s="11">
        <v>73.65</v>
      </c>
      <c r="G49" s="9">
        <v>38</v>
      </c>
      <c r="H49" s="10">
        <v>76.7</v>
      </c>
      <c r="I49" s="10">
        <v>75.48</v>
      </c>
    </row>
    <row r="50" spans="1:9" ht="18" customHeight="1">
      <c r="A50" s="8">
        <v>49</v>
      </c>
      <c r="B50" s="8" t="s">
        <v>44</v>
      </c>
      <c r="C50" s="8" t="s">
        <v>373</v>
      </c>
      <c r="D50" s="8" t="s">
        <v>374</v>
      </c>
      <c r="E50" s="8" t="s">
        <v>89</v>
      </c>
      <c r="F50" s="11">
        <v>68.4</v>
      </c>
      <c r="G50" s="9">
        <v>39</v>
      </c>
      <c r="H50" s="10">
        <v>76.83</v>
      </c>
      <c r="I50" s="10">
        <v>73.458</v>
      </c>
    </row>
    <row r="51" spans="1:9" ht="18" customHeight="1">
      <c r="A51" s="8">
        <v>50</v>
      </c>
      <c r="B51" s="8" t="s">
        <v>44</v>
      </c>
      <c r="C51" s="8" t="s">
        <v>375</v>
      </c>
      <c r="D51" s="8" t="s">
        <v>376</v>
      </c>
      <c r="E51" s="8" t="s">
        <v>85</v>
      </c>
      <c r="F51" s="11">
        <v>70.65</v>
      </c>
      <c r="G51" s="9">
        <v>40</v>
      </c>
      <c r="H51" s="10">
        <v>59.43</v>
      </c>
      <c r="I51" s="10">
        <v>63.918000000000006</v>
      </c>
    </row>
    <row r="52" spans="1:9" ht="18" customHeight="1">
      <c r="A52" s="8">
        <v>51</v>
      </c>
      <c r="B52" s="8" t="s">
        <v>44</v>
      </c>
      <c r="C52" s="8" t="s">
        <v>377</v>
      </c>
      <c r="D52" s="8" t="s">
        <v>378</v>
      </c>
      <c r="E52" s="8" t="s">
        <v>87</v>
      </c>
      <c r="F52" s="11">
        <v>71.4</v>
      </c>
      <c r="G52" s="9">
        <v>41</v>
      </c>
      <c r="H52" s="10">
        <v>76.07</v>
      </c>
      <c r="I52" s="10">
        <v>74.202</v>
      </c>
    </row>
    <row r="53" spans="1:9" ht="18" customHeight="1">
      <c r="A53" s="8">
        <v>52</v>
      </c>
      <c r="B53" s="8" t="s">
        <v>44</v>
      </c>
      <c r="C53" s="8" t="s">
        <v>379</v>
      </c>
      <c r="D53" s="8" t="s">
        <v>380</v>
      </c>
      <c r="E53" s="8" t="s">
        <v>62</v>
      </c>
      <c r="F53" s="11">
        <v>66.6</v>
      </c>
      <c r="G53" s="9">
        <v>42</v>
      </c>
      <c r="H53" s="10">
        <v>60.5</v>
      </c>
      <c r="I53" s="10">
        <v>62.94</v>
      </c>
    </row>
    <row r="54" spans="1:9" ht="18" customHeight="1">
      <c r="A54" s="8">
        <v>53</v>
      </c>
      <c r="B54" s="8" t="s">
        <v>44</v>
      </c>
      <c r="C54" s="8" t="s">
        <v>381</v>
      </c>
      <c r="D54" s="8" t="s">
        <v>382</v>
      </c>
      <c r="E54" s="8" t="s">
        <v>150</v>
      </c>
      <c r="F54" s="11">
        <v>76.65</v>
      </c>
      <c r="G54" s="9">
        <v>43</v>
      </c>
      <c r="H54" s="10">
        <v>61.83</v>
      </c>
      <c r="I54" s="10">
        <v>67.75800000000001</v>
      </c>
    </row>
    <row r="55" spans="1:9" ht="18" customHeight="1">
      <c r="A55" s="8">
        <v>54</v>
      </c>
      <c r="B55" s="8" t="s">
        <v>44</v>
      </c>
      <c r="C55" s="8" t="s">
        <v>383</v>
      </c>
      <c r="D55" s="8" t="s">
        <v>384</v>
      </c>
      <c r="E55" s="8" t="s">
        <v>260</v>
      </c>
      <c r="F55" s="11">
        <v>69.4</v>
      </c>
      <c r="G55" s="9">
        <v>44</v>
      </c>
      <c r="H55" s="10">
        <v>72.53</v>
      </c>
      <c r="I55" s="10">
        <v>71.278</v>
      </c>
    </row>
    <row r="56" spans="1:9" ht="18" customHeight="1">
      <c r="A56" s="8">
        <v>55</v>
      </c>
      <c r="B56" s="8" t="s">
        <v>44</v>
      </c>
      <c r="C56" s="8" t="s">
        <v>311</v>
      </c>
      <c r="D56" s="8" t="s">
        <v>385</v>
      </c>
      <c r="E56" s="8" t="s">
        <v>63</v>
      </c>
      <c r="F56" s="11">
        <v>74</v>
      </c>
      <c r="G56" s="9">
        <v>45</v>
      </c>
      <c r="H56" s="10">
        <v>74.6</v>
      </c>
      <c r="I56" s="10">
        <v>74.36</v>
      </c>
    </row>
    <row r="57" spans="1:9" ht="18" customHeight="1">
      <c r="A57" s="8">
        <v>56</v>
      </c>
      <c r="B57" s="8" t="s">
        <v>44</v>
      </c>
      <c r="C57" s="8" t="s">
        <v>386</v>
      </c>
      <c r="D57" s="8" t="s">
        <v>387</v>
      </c>
      <c r="E57" s="8" t="s">
        <v>223</v>
      </c>
      <c r="F57" s="11">
        <v>74.95</v>
      </c>
      <c r="G57" s="9">
        <v>46</v>
      </c>
      <c r="H57" s="10">
        <v>65.8</v>
      </c>
      <c r="I57" s="10">
        <v>69.46000000000001</v>
      </c>
    </row>
    <row r="58" spans="1:9" ht="18" customHeight="1">
      <c r="A58" s="8">
        <v>57</v>
      </c>
      <c r="B58" s="8" t="s">
        <v>44</v>
      </c>
      <c r="C58" s="8" t="s">
        <v>388</v>
      </c>
      <c r="D58" s="8" t="s">
        <v>389</v>
      </c>
      <c r="E58" s="8" t="s">
        <v>90</v>
      </c>
      <c r="F58" s="11">
        <v>68.2</v>
      </c>
      <c r="G58" s="9">
        <v>47</v>
      </c>
      <c r="H58" s="10">
        <v>57.5</v>
      </c>
      <c r="I58" s="10">
        <v>61.78</v>
      </c>
    </row>
    <row r="59" spans="1:9" ht="18" customHeight="1">
      <c r="A59" s="8">
        <v>58</v>
      </c>
      <c r="B59" s="8" t="s">
        <v>44</v>
      </c>
      <c r="C59" s="8" t="s">
        <v>390</v>
      </c>
      <c r="D59" s="8" t="s">
        <v>391</v>
      </c>
      <c r="E59" s="8" t="s">
        <v>184</v>
      </c>
      <c r="F59" s="11">
        <v>70.25</v>
      </c>
      <c r="G59" s="9">
        <v>48</v>
      </c>
      <c r="H59" s="10">
        <v>79.9</v>
      </c>
      <c r="I59" s="10">
        <v>76.04</v>
      </c>
    </row>
    <row r="60" spans="1:9" ht="18" customHeight="1">
      <c r="A60" s="8">
        <v>59</v>
      </c>
      <c r="B60" s="8" t="s">
        <v>44</v>
      </c>
      <c r="C60" s="8" t="s">
        <v>392</v>
      </c>
      <c r="D60" s="8" t="s">
        <v>393</v>
      </c>
      <c r="E60" s="8" t="s">
        <v>77</v>
      </c>
      <c r="F60" s="11">
        <v>71.75</v>
      </c>
      <c r="G60" s="9">
        <v>49</v>
      </c>
      <c r="H60" s="10">
        <v>72.87</v>
      </c>
      <c r="I60" s="10">
        <v>72.422</v>
      </c>
    </row>
    <row r="61" spans="1:9" ht="18" customHeight="1">
      <c r="A61" s="8">
        <v>60</v>
      </c>
      <c r="B61" s="8" t="s">
        <v>44</v>
      </c>
      <c r="C61" s="8" t="s">
        <v>394</v>
      </c>
      <c r="D61" s="8" t="s">
        <v>395</v>
      </c>
      <c r="E61" s="8" t="s">
        <v>251</v>
      </c>
      <c r="F61" s="11">
        <v>69.6</v>
      </c>
      <c r="G61" s="9">
        <v>50</v>
      </c>
      <c r="H61" s="10">
        <v>66.13</v>
      </c>
      <c r="I61" s="10">
        <v>67.518</v>
      </c>
    </row>
    <row r="62" spans="1:9" ht="18" customHeight="1">
      <c r="A62" s="8">
        <v>61</v>
      </c>
      <c r="B62" s="8" t="s">
        <v>44</v>
      </c>
      <c r="C62" s="8" t="s">
        <v>396</v>
      </c>
      <c r="D62" s="8" t="s">
        <v>397</v>
      </c>
      <c r="E62" s="8" t="s">
        <v>200</v>
      </c>
      <c r="F62" s="11">
        <v>73.19999999999999</v>
      </c>
      <c r="G62" s="9">
        <v>51</v>
      </c>
      <c r="H62" s="10">
        <v>80.03</v>
      </c>
      <c r="I62" s="10">
        <v>77.298</v>
      </c>
    </row>
    <row r="63" spans="1:9" ht="18" customHeight="1">
      <c r="A63" s="8">
        <v>62</v>
      </c>
      <c r="B63" s="8" t="s">
        <v>44</v>
      </c>
      <c r="C63" s="8" t="s">
        <v>398</v>
      </c>
      <c r="D63" s="8" t="s">
        <v>399</v>
      </c>
      <c r="E63" s="8" t="s">
        <v>117</v>
      </c>
      <c r="F63" s="11">
        <v>67.75</v>
      </c>
      <c r="G63" s="9">
        <v>52</v>
      </c>
      <c r="H63" s="10">
        <v>67.17</v>
      </c>
      <c r="I63" s="10">
        <v>67.402</v>
      </c>
    </row>
    <row r="64" spans="1:9" ht="18" customHeight="1">
      <c r="A64" s="8">
        <v>63</v>
      </c>
      <c r="B64" s="8" t="s">
        <v>44</v>
      </c>
      <c r="C64" s="8" t="s">
        <v>400</v>
      </c>
      <c r="D64" s="8" t="s">
        <v>401</v>
      </c>
      <c r="E64" s="8" t="s">
        <v>193</v>
      </c>
      <c r="F64" s="11">
        <v>67.7</v>
      </c>
      <c r="G64" s="9">
        <v>53</v>
      </c>
      <c r="H64" s="10">
        <v>70.1</v>
      </c>
      <c r="I64" s="10">
        <v>69.14</v>
      </c>
    </row>
    <row r="65" spans="1:9" ht="18" customHeight="1">
      <c r="A65" s="8">
        <v>64</v>
      </c>
      <c r="B65" s="8" t="s">
        <v>44</v>
      </c>
      <c r="C65" s="8" t="s">
        <v>402</v>
      </c>
      <c r="D65" s="8" t="s">
        <v>403</v>
      </c>
      <c r="E65" s="8" t="s">
        <v>103</v>
      </c>
      <c r="F65" s="11">
        <v>68.1</v>
      </c>
      <c r="G65" s="9">
        <v>54</v>
      </c>
      <c r="H65" s="10">
        <v>77.33</v>
      </c>
      <c r="I65" s="10">
        <v>73.63799999999999</v>
      </c>
    </row>
  </sheetData>
  <sheetProtection/>
  <autoFilter ref="A1:F65"/>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2023-03-06T08:05:21Z</dcterms:created>
  <dcterms:modified xsi:type="dcterms:W3CDTF">2023-03-25T10:32:20Z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DAEE445720244E7B81B67C3E8275739E</vt:lpwstr>
  </property>
  <property fmtid="{D5CDD505-2E9C-101B-9397-08002B2CF9AE}" pid="3" name="KSOProductBuildVer">
    <vt:lpwstr>2052-11.1.0.13703</vt:lpwstr>
  </property>
</Properties>
</file>