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445_6315c2dacf9a2" sheetId="1" r:id="rId1"/>
  </sheets>
  <definedNames/>
  <calcPr fullCalcOnLoad="1"/>
</workbook>
</file>

<file path=xl/sharedStrings.xml><?xml version="1.0" encoding="utf-8"?>
<sst xmlns="http://schemas.openxmlformats.org/spreadsheetml/2006/main" count="838" uniqueCount="49">
  <si>
    <t>2022年度颍上县公办学校劳务派遣制教师公开招聘现场资格复审名单</t>
  </si>
  <si>
    <t>序号</t>
  </si>
  <si>
    <t>岗位名称</t>
  </si>
  <si>
    <t>姓名</t>
  </si>
  <si>
    <t>性别</t>
  </si>
  <si>
    <t>准考证号</t>
  </si>
  <si>
    <t>教育综合</t>
  </si>
  <si>
    <t>专业科目</t>
  </si>
  <si>
    <t>笔试合成成绩</t>
  </si>
  <si>
    <t>资格复审所在组别</t>
  </si>
  <si>
    <t>小学语文A</t>
  </si>
  <si>
    <t>第四组</t>
  </si>
  <si>
    <t>小学语文B</t>
  </si>
  <si>
    <t>小学语文C</t>
  </si>
  <si>
    <t>小学数学A</t>
  </si>
  <si>
    <t>第三组</t>
  </si>
  <si>
    <t>小学数学B</t>
  </si>
  <si>
    <t>小学数学C</t>
  </si>
  <si>
    <t>小学英语</t>
  </si>
  <si>
    <t>小学道德与法治</t>
  </si>
  <si>
    <t>第二组</t>
  </si>
  <si>
    <t>小学信息技术</t>
  </si>
  <si>
    <t>小学音乐</t>
  </si>
  <si>
    <t>小学体育</t>
  </si>
  <si>
    <t>小学美术</t>
  </si>
  <si>
    <t>小学心理健康教育</t>
  </si>
  <si>
    <t>小学科学</t>
  </si>
  <si>
    <t>初中语文</t>
  </si>
  <si>
    <t>第一组</t>
  </si>
  <si>
    <t>初中数学</t>
  </si>
  <si>
    <t>初中英语</t>
  </si>
  <si>
    <t>初中物理</t>
  </si>
  <si>
    <t>初中化学</t>
  </si>
  <si>
    <t>初中道德与法治</t>
  </si>
  <si>
    <t>初中历史</t>
  </si>
  <si>
    <t>初中地理</t>
  </si>
  <si>
    <t>初中生物</t>
  </si>
  <si>
    <t>初中信息技术</t>
  </si>
  <si>
    <t>初中音乐</t>
  </si>
  <si>
    <t>初中体育</t>
  </si>
  <si>
    <t>初中美术</t>
  </si>
  <si>
    <t>高中语文</t>
  </si>
  <si>
    <t>高中数学A</t>
  </si>
  <si>
    <t>高中数学B</t>
  </si>
  <si>
    <t>高中英语</t>
  </si>
  <si>
    <t>高中历史</t>
  </si>
  <si>
    <t>高中生物</t>
  </si>
  <si>
    <t>高中信息技术</t>
  </si>
  <si>
    <t>高中政治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</si>
</sst>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6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4.75390625" style="0" customWidth="1"/>
    <col min="2" max="2" width="15.375" style="0" customWidth="1"/>
    <col min="3" max="3" width="8.125" style="0" customWidth="1"/>
    <col min="4" max="4" width="4.75390625" style="0" customWidth="1"/>
    <col min="5" max="5" width="11.625" style="0" customWidth="1"/>
    <col min="6" max="7" width="8.125" style="0" customWidth="1"/>
    <col min="8" max="8" width="11.625" style="0" customWidth="1"/>
    <col min="9" max="9" width="15.37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3" t="s">
        <v>9</v>
      </c>
    </row>
    <row r="3" spans="1:9" ht="14.25">
      <c r="A3" s="4">
        <v>1</v>
      </c>
      <c r="B3" s="2" t="s">
        <v>10</v>
      </c>
      <c r="C3" s="2" t="str">
        <f>"王艳"</f>
        <v>王艳</v>
      </c>
      <c r="D3" s="2" t="str">
        <f aca="true" t="shared" si="0" ref="D3:D20">"女"</f>
        <v>女</v>
      </c>
      <c r="E3" s="2" t="str">
        <f>"202209040406"</f>
        <v>202209040406</v>
      </c>
      <c r="F3" s="4">
        <v>71.9</v>
      </c>
      <c r="G3" s="4">
        <v>78.5</v>
      </c>
      <c r="H3" s="4">
        <f aca="true" t="shared" si="1" ref="H3:H66">G3*0.6+F3*0.4</f>
        <v>75.86000000000001</v>
      </c>
      <c r="I3" s="5" t="s">
        <v>11</v>
      </c>
    </row>
    <row r="4" spans="1:9" ht="14.25">
      <c r="A4" s="4">
        <v>2</v>
      </c>
      <c r="B4" s="2" t="s">
        <v>10</v>
      </c>
      <c r="C4" s="2" t="str">
        <f>"柳妞香"</f>
        <v>柳妞香</v>
      </c>
      <c r="D4" s="2" t="str">
        <f t="shared" si="0"/>
        <v>女</v>
      </c>
      <c r="E4" s="2" t="str">
        <f>"202209040404"</f>
        <v>202209040404</v>
      </c>
      <c r="F4" s="4">
        <v>79.30000000000001</v>
      </c>
      <c r="G4" s="4">
        <v>71</v>
      </c>
      <c r="H4" s="4">
        <f t="shared" si="1"/>
        <v>74.32000000000001</v>
      </c>
      <c r="I4" s="5" t="s">
        <v>11</v>
      </c>
    </row>
    <row r="5" spans="1:9" ht="14.25">
      <c r="A5" s="4">
        <v>3</v>
      </c>
      <c r="B5" s="2" t="s">
        <v>10</v>
      </c>
      <c r="C5" s="2" t="str">
        <f>"孙雪梅"</f>
        <v>孙雪梅</v>
      </c>
      <c r="D5" s="2" t="str">
        <f t="shared" si="0"/>
        <v>女</v>
      </c>
      <c r="E5" s="2" t="str">
        <f>"202209040315"</f>
        <v>202209040315</v>
      </c>
      <c r="F5" s="4">
        <v>78.7</v>
      </c>
      <c r="G5" s="4">
        <v>70</v>
      </c>
      <c r="H5" s="4">
        <f t="shared" si="1"/>
        <v>73.48</v>
      </c>
      <c r="I5" s="5" t="s">
        <v>11</v>
      </c>
    </row>
    <row r="6" spans="1:9" ht="14.25">
      <c r="A6" s="4">
        <v>4</v>
      </c>
      <c r="B6" s="2" t="s">
        <v>10</v>
      </c>
      <c r="C6" s="2" t="str">
        <f>"姚若楠"</f>
        <v>姚若楠</v>
      </c>
      <c r="D6" s="2" t="str">
        <f t="shared" si="0"/>
        <v>女</v>
      </c>
      <c r="E6" s="2" t="str">
        <f>"202209040120"</f>
        <v>202209040120</v>
      </c>
      <c r="F6" s="4">
        <v>72.4</v>
      </c>
      <c r="G6" s="4">
        <v>73</v>
      </c>
      <c r="H6" s="4">
        <f t="shared" si="1"/>
        <v>72.76</v>
      </c>
      <c r="I6" s="5" t="s">
        <v>11</v>
      </c>
    </row>
    <row r="7" spans="1:9" ht="14.25">
      <c r="A7" s="4">
        <v>5</v>
      </c>
      <c r="B7" s="2" t="s">
        <v>10</v>
      </c>
      <c r="C7" s="2" t="str">
        <f>"杨云"</f>
        <v>杨云</v>
      </c>
      <c r="D7" s="2" t="str">
        <f t="shared" si="0"/>
        <v>女</v>
      </c>
      <c r="E7" s="2" t="str">
        <f>"202209040225"</f>
        <v>202209040225</v>
      </c>
      <c r="F7" s="4">
        <v>77.4</v>
      </c>
      <c r="G7" s="4">
        <v>68</v>
      </c>
      <c r="H7" s="4">
        <f t="shared" si="1"/>
        <v>71.76</v>
      </c>
      <c r="I7" s="5" t="s">
        <v>11</v>
      </c>
    </row>
    <row r="8" spans="1:9" ht="14.25">
      <c r="A8" s="4">
        <v>6</v>
      </c>
      <c r="B8" s="2" t="s">
        <v>10</v>
      </c>
      <c r="C8" s="2" t="str">
        <f>"龚丽晴"</f>
        <v>龚丽晴</v>
      </c>
      <c r="D8" s="2" t="str">
        <f t="shared" si="0"/>
        <v>女</v>
      </c>
      <c r="E8" s="2" t="str">
        <f>"202209040427"</f>
        <v>202209040427</v>
      </c>
      <c r="F8" s="4">
        <v>77.10000000000001</v>
      </c>
      <c r="G8" s="4">
        <v>68</v>
      </c>
      <c r="H8" s="4">
        <f t="shared" si="1"/>
        <v>71.64</v>
      </c>
      <c r="I8" s="5" t="s">
        <v>11</v>
      </c>
    </row>
    <row r="9" spans="1:9" ht="14.25">
      <c r="A9" s="4">
        <v>7</v>
      </c>
      <c r="B9" s="2" t="s">
        <v>10</v>
      </c>
      <c r="C9" s="2" t="str">
        <f>"李蒙珂"</f>
        <v>李蒙珂</v>
      </c>
      <c r="D9" s="2" t="str">
        <f t="shared" si="0"/>
        <v>女</v>
      </c>
      <c r="E9" s="2" t="str">
        <f>"202209040508"</f>
        <v>202209040508</v>
      </c>
      <c r="F9" s="4">
        <v>76.9</v>
      </c>
      <c r="G9" s="4">
        <v>68</v>
      </c>
      <c r="H9" s="4">
        <f t="shared" si="1"/>
        <v>71.56</v>
      </c>
      <c r="I9" s="5" t="s">
        <v>11</v>
      </c>
    </row>
    <row r="10" spans="1:9" ht="14.25">
      <c r="A10" s="4">
        <v>8</v>
      </c>
      <c r="B10" s="2" t="s">
        <v>10</v>
      </c>
      <c r="C10" s="2" t="str">
        <f>"管培培"</f>
        <v>管培培</v>
      </c>
      <c r="D10" s="2" t="str">
        <f t="shared" si="0"/>
        <v>女</v>
      </c>
      <c r="E10" s="2" t="str">
        <f>"202209040403"</f>
        <v>202209040403</v>
      </c>
      <c r="F10" s="4">
        <v>81.2</v>
      </c>
      <c r="G10" s="4">
        <v>64.5</v>
      </c>
      <c r="H10" s="4">
        <f t="shared" si="1"/>
        <v>71.18</v>
      </c>
      <c r="I10" s="5" t="s">
        <v>11</v>
      </c>
    </row>
    <row r="11" spans="1:9" ht="14.25">
      <c r="A11" s="4">
        <v>9</v>
      </c>
      <c r="B11" s="2" t="s">
        <v>10</v>
      </c>
      <c r="C11" s="2" t="str">
        <f>"高露"</f>
        <v>高露</v>
      </c>
      <c r="D11" s="2" t="str">
        <f t="shared" si="0"/>
        <v>女</v>
      </c>
      <c r="E11" s="2" t="str">
        <f>"202209040306"</f>
        <v>202209040306</v>
      </c>
      <c r="F11" s="4">
        <v>79.8</v>
      </c>
      <c r="G11" s="4">
        <v>64</v>
      </c>
      <c r="H11" s="4">
        <f t="shared" si="1"/>
        <v>70.32</v>
      </c>
      <c r="I11" s="5" t="s">
        <v>11</v>
      </c>
    </row>
    <row r="12" spans="1:9" ht="14.25">
      <c r="A12" s="4">
        <v>10</v>
      </c>
      <c r="B12" s="2" t="s">
        <v>10</v>
      </c>
      <c r="C12" s="2" t="str">
        <f>"徐程钰"</f>
        <v>徐程钰</v>
      </c>
      <c r="D12" s="2" t="str">
        <f t="shared" si="0"/>
        <v>女</v>
      </c>
      <c r="E12" s="2" t="str">
        <f>"202209040310"</f>
        <v>202209040310</v>
      </c>
      <c r="F12" s="4">
        <v>70.60000000000001</v>
      </c>
      <c r="G12" s="4">
        <v>70</v>
      </c>
      <c r="H12" s="4">
        <f t="shared" si="1"/>
        <v>70.24000000000001</v>
      </c>
      <c r="I12" s="5" t="s">
        <v>11</v>
      </c>
    </row>
    <row r="13" spans="1:9" ht="14.25">
      <c r="A13" s="4">
        <v>11</v>
      </c>
      <c r="B13" s="2" t="s">
        <v>10</v>
      </c>
      <c r="C13" s="2" t="str">
        <f>"高曦微"</f>
        <v>高曦微</v>
      </c>
      <c r="D13" s="2" t="str">
        <f t="shared" si="0"/>
        <v>女</v>
      </c>
      <c r="E13" s="2" t="str">
        <f>"202209040327"</f>
        <v>202209040327</v>
      </c>
      <c r="F13" s="4">
        <v>67.5</v>
      </c>
      <c r="G13" s="4">
        <v>72</v>
      </c>
      <c r="H13" s="4">
        <f t="shared" si="1"/>
        <v>70.19999999999999</v>
      </c>
      <c r="I13" s="5" t="s">
        <v>11</v>
      </c>
    </row>
    <row r="14" spans="1:9" ht="14.25">
      <c r="A14" s="4">
        <v>12</v>
      </c>
      <c r="B14" s="2" t="s">
        <v>10</v>
      </c>
      <c r="C14" s="2" t="str">
        <f>"徐伟伟"</f>
        <v>徐伟伟</v>
      </c>
      <c r="D14" s="2" t="str">
        <f t="shared" si="0"/>
        <v>女</v>
      </c>
      <c r="E14" s="2" t="str">
        <f>"202209040414"</f>
        <v>202209040414</v>
      </c>
      <c r="F14" s="4">
        <v>70.2</v>
      </c>
      <c r="G14" s="4">
        <v>70</v>
      </c>
      <c r="H14" s="4">
        <f t="shared" si="1"/>
        <v>70.08</v>
      </c>
      <c r="I14" s="5" t="s">
        <v>11</v>
      </c>
    </row>
    <row r="15" spans="1:9" ht="14.25">
      <c r="A15" s="4">
        <v>13</v>
      </c>
      <c r="B15" s="2" t="s">
        <v>10</v>
      </c>
      <c r="C15" s="2" t="str">
        <f>"孙海潮"</f>
        <v>孙海潮</v>
      </c>
      <c r="D15" s="2" t="str">
        <f t="shared" si="0"/>
        <v>女</v>
      </c>
      <c r="E15" s="2" t="str">
        <f>"202209040329"</f>
        <v>202209040329</v>
      </c>
      <c r="F15" s="4">
        <v>69.6</v>
      </c>
      <c r="G15" s="4">
        <v>70</v>
      </c>
      <c r="H15" s="4">
        <f t="shared" si="1"/>
        <v>69.84</v>
      </c>
      <c r="I15" s="5" t="s">
        <v>11</v>
      </c>
    </row>
    <row r="16" spans="1:9" ht="14.25">
      <c r="A16" s="4">
        <v>14</v>
      </c>
      <c r="B16" s="2" t="s">
        <v>10</v>
      </c>
      <c r="C16" s="2" t="str">
        <f>"丁卉"</f>
        <v>丁卉</v>
      </c>
      <c r="D16" s="2" t="str">
        <f t="shared" si="0"/>
        <v>女</v>
      </c>
      <c r="E16" s="2" t="str">
        <f>"202209040130"</f>
        <v>202209040130</v>
      </c>
      <c r="F16" s="4">
        <v>72.9</v>
      </c>
      <c r="G16" s="4">
        <v>67</v>
      </c>
      <c r="H16" s="4">
        <f t="shared" si="1"/>
        <v>69.36</v>
      </c>
      <c r="I16" s="5" t="s">
        <v>11</v>
      </c>
    </row>
    <row r="17" spans="1:9" ht="14.25">
      <c r="A17" s="4">
        <v>15</v>
      </c>
      <c r="B17" s="2" t="s">
        <v>10</v>
      </c>
      <c r="C17" s="2" t="str">
        <f>"李茜"</f>
        <v>李茜</v>
      </c>
      <c r="D17" s="2" t="str">
        <f t="shared" si="0"/>
        <v>女</v>
      </c>
      <c r="E17" s="2" t="str">
        <f>"202209040202"</f>
        <v>202209040202</v>
      </c>
      <c r="F17" s="4">
        <v>79.5</v>
      </c>
      <c r="G17" s="4">
        <v>62.5</v>
      </c>
      <c r="H17" s="4">
        <f t="shared" si="1"/>
        <v>69.3</v>
      </c>
      <c r="I17" s="5" t="s">
        <v>11</v>
      </c>
    </row>
    <row r="18" spans="1:9" ht="14.25">
      <c r="A18" s="4">
        <v>16</v>
      </c>
      <c r="B18" s="2" t="s">
        <v>10</v>
      </c>
      <c r="C18" s="2" t="str">
        <f>"马萍萍"</f>
        <v>马萍萍</v>
      </c>
      <c r="D18" s="2" t="str">
        <f t="shared" si="0"/>
        <v>女</v>
      </c>
      <c r="E18" s="2" t="str">
        <f>"202209040129"</f>
        <v>202209040129</v>
      </c>
      <c r="F18" s="4">
        <v>73.60000000000001</v>
      </c>
      <c r="G18" s="4">
        <v>66</v>
      </c>
      <c r="H18" s="4">
        <f t="shared" si="1"/>
        <v>69.04</v>
      </c>
      <c r="I18" s="5" t="s">
        <v>11</v>
      </c>
    </row>
    <row r="19" spans="1:9" ht="14.25">
      <c r="A19" s="4">
        <v>17</v>
      </c>
      <c r="B19" s="2" t="s">
        <v>10</v>
      </c>
      <c r="C19" s="2" t="str">
        <f>"陈艳"</f>
        <v>陈艳</v>
      </c>
      <c r="D19" s="2" t="str">
        <f t="shared" si="0"/>
        <v>女</v>
      </c>
      <c r="E19" s="2" t="str">
        <f>"202209040422"</f>
        <v>202209040422</v>
      </c>
      <c r="F19" s="4">
        <v>71.80000000000001</v>
      </c>
      <c r="G19" s="4">
        <v>67</v>
      </c>
      <c r="H19" s="4">
        <f t="shared" si="1"/>
        <v>68.92</v>
      </c>
      <c r="I19" s="5" t="s">
        <v>11</v>
      </c>
    </row>
    <row r="20" spans="1:9" ht="14.25">
      <c r="A20" s="4">
        <v>18</v>
      </c>
      <c r="B20" s="2" t="s">
        <v>10</v>
      </c>
      <c r="C20" s="2" t="str">
        <f>"王娟娟"</f>
        <v>王娟娟</v>
      </c>
      <c r="D20" s="2" t="str">
        <f t="shared" si="0"/>
        <v>女</v>
      </c>
      <c r="E20" s="2" t="str">
        <f>"202209040110"</f>
        <v>202209040110</v>
      </c>
      <c r="F20" s="4">
        <v>77.10000000000001</v>
      </c>
      <c r="G20" s="4">
        <v>63</v>
      </c>
      <c r="H20" s="4">
        <f t="shared" si="1"/>
        <v>68.64</v>
      </c>
      <c r="I20" s="5" t="s">
        <v>11</v>
      </c>
    </row>
    <row r="21" spans="1:9" ht="14.25">
      <c r="A21" s="4">
        <v>19</v>
      </c>
      <c r="B21" s="2" t="s">
        <v>10</v>
      </c>
      <c r="C21" s="2" t="str">
        <f>"单振翔"</f>
        <v>单振翔</v>
      </c>
      <c r="D21" s="2" t="str">
        <f>"男"</f>
        <v>男</v>
      </c>
      <c r="E21" s="2" t="str">
        <f>"202209040305"</f>
        <v>202209040305</v>
      </c>
      <c r="F21" s="4">
        <v>69.2</v>
      </c>
      <c r="G21" s="4">
        <v>68</v>
      </c>
      <c r="H21" s="4">
        <f t="shared" si="1"/>
        <v>68.48</v>
      </c>
      <c r="I21" s="5" t="s">
        <v>11</v>
      </c>
    </row>
    <row r="22" spans="1:9" ht="14.25">
      <c r="A22" s="4">
        <v>20</v>
      </c>
      <c r="B22" s="2" t="s">
        <v>10</v>
      </c>
      <c r="C22" s="2" t="str">
        <f>"王娜娜"</f>
        <v>王娜娜</v>
      </c>
      <c r="D22" s="2" t="str">
        <f aca="true" t="shared" si="2" ref="D22:D27">"女"</f>
        <v>女</v>
      </c>
      <c r="E22" s="2" t="str">
        <f>"202209040226"</f>
        <v>202209040226</v>
      </c>
      <c r="F22" s="4">
        <v>74.2</v>
      </c>
      <c r="G22" s="4">
        <v>64</v>
      </c>
      <c r="H22" s="4">
        <f t="shared" si="1"/>
        <v>68.08</v>
      </c>
      <c r="I22" s="5" t="s">
        <v>11</v>
      </c>
    </row>
    <row r="23" spans="1:9" ht="14.25">
      <c r="A23" s="4">
        <v>21</v>
      </c>
      <c r="B23" s="2" t="s">
        <v>10</v>
      </c>
      <c r="C23" s="2" t="str">
        <f>"章雅琪"</f>
        <v>章雅琪</v>
      </c>
      <c r="D23" s="2" t="str">
        <f t="shared" si="2"/>
        <v>女</v>
      </c>
      <c r="E23" s="2" t="str">
        <f>"202209040214"</f>
        <v>202209040214</v>
      </c>
      <c r="F23" s="4">
        <v>69.4</v>
      </c>
      <c r="G23" s="4">
        <v>67</v>
      </c>
      <c r="H23" s="4">
        <f t="shared" si="1"/>
        <v>67.96000000000001</v>
      </c>
      <c r="I23" s="5" t="s">
        <v>11</v>
      </c>
    </row>
    <row r="24" spans="1:9" ht="14.25">
      <c r="A24" s="4">
        <v>22</v>
      </c>
      <c r="B24" s="2" t="s">
        <v>10</v>
      </c>
      <c r="C24" s="2" t="str">
        <f>"李宁宁"</f>
        <v>李宁宁</v>
      </c>
      <c r="D24" s="2" t="str">
        <f t="shared" si="2"/>
        <v>女</v>
      </c>
      <c r="E24" s="2" t="str">
        <f>"202209040416"</f>
        <v>202209040416</v>
      </c>
      <c r="F24" s="4">
        <v>79.1</v>
      </c>
      <c r="G24" s="4">
        <v>60</v>
      </c>
      <c r="H24" s="4">
        <f t="shared" si="1"/>
        <v>67.64</v>
      </c>
      <c r="I24" s="5" t="s">
        <v>11</v>
      </c>
    </row>
    <row r="25" spans="1:9" ht="14.25">
      <c r="A25" s="4">
        <v>23</v>
      </c>
      <c r="B25" s="2" t="s">
        <v>10</v>
      </c>
      <c r="C25" s="2" t="str">
        <f>"黄瑞"</f>
        <v>黄瑞</v>
      </c>
      <c r="D25" s="2" t="str">
        <f t="shared" si="2"/>
        <v>女</v>
      </c>
      <c r="E25" s="2" t="str">
        <f>"202209040421"</f>
        <v>202209040421</v>
      </c>
      <c r="F25" s="4">
        <v>74.5</v>
      </c>
      <c r="G25" s="4">
        <v>63</v>
      </c>
      <c r="H25" s="4">
        <f t="shared" si="1"/>
        <v>67.6</v>
      </c>
      <c r="I25" s="5" t="s">
        <v>11</v>
      </c>
    </row>
    <row r="26" spans="1:9" ht="14.25">
      <c r="A26" s="4">
        <v>24</v>
      </c>
      <c r="B26" s="2" t="s">
        <v>10</v>
      </c>
      <c r="C26" s="2" t="str">
        <f>"焦艳梅"</f>
        <v>焦艳梅</v>
      </c>
      <c r="D26" s="2" t="str">
        <f t="shared" si="2"/>
        <v>女</v>
      </c>
      <c r="E26" s="2" t="str">
        <f>"202209040410"</f>
        <v>202209040410</v>
      </c>
      <c r="F26" s="4">
        <v>75.80000000000001</v>
      </c>
      <c r="G26" s="4">
        <v>62</v>
      </c>
      <c r="H26" s="4">
        <f t="shared" si="1"/>
        <v>67.52000000000001</v>
      </c>
      <c r="I26" s="5" t="s">
        <v>11</v>
      </c>
    </row>
    <row r="27" spans="1:9" ht="14.25">
      <c r="A27" s="4">
        <v>25</v>
      </c>
      <c r="B27" s="2" t="s">
        <v>10</v>
      </c>
      <c r="C27" s="2" t="str">
        <f>"李召娣"</f>
        <v>李召娣</v>
      </c>
      <c r="D27" s="2" t="str">
        <f t="shared" si="2"/>
        <v>女</v>
      </c>
      <c r="E27" s="2" t="str">
        <f>"202209040323"</f>
        <v>202209040323</v>
      </c>
      <c r="F27" s="4">
        <v>77.9</v>
      </c>
      <c r="G27" s="4">
        <v>60</v>
      </c>
      <c r="H27" s="4">
        <f t="shared" si="1"/>
        <v>67.16</v>
      </c>
      <c r="I27" s="5" t="s">
        <v>11</v>
      </c>
    </row>
    <row r="28" spans="1:9" ht="14.25">
      <c r="A28" s="4">
        <v>26</v>
      </c>
      <c r="B28" s="2" t="s">
        <v>10</v>
      </c>
      <c r="C28" s="2" t="str">
        <f>"李少帅"</f>
        <v>李少帅</v>
      </c>
      <c r="D28" s="2" t="str">
        <f>"男"</f>
        <v>男</v>
      </c>
      <c r="E28" s="2" t="str">
        <f>"202209040301"</f>
        <v>202209040301</v>
      </c>
      <c r="F28" s="4">
        <v>71.5</v>
      </c>
      <c r="G28" s="4">
        <v>64</v>
      </c>
      <c r="H28" s="4">
        <f t="shared" si="1"/>
        <v>67</v>
      </c>
      <c r="I28" s="5" t="s">
        <v>11</v>
      </c>
    </row>
    <row r="29" spans="1:9" ht="14.25">
      <c r="A29" s="4">
        <v>27</v>
      </c>
      <c r="B29" s="2" t="s">
        <v>10</v>
      </c>
      <c r="C29" s="2" t="str">
        <f>"李云"</f>
        <v>李云</v>
      </c>
      <c r="D29" s="2" t="str">
        <f aca="true" t="shared" si="3" ref="D29:D34">"女"</f>
        <v>女</v>
      </c>
      <c r="E29" s="2" t="str">
        <f>"202209040118"</f>
        <v>202209040118</v>
      </c>
      <c r="F29" s="4">
        <v>72.10000000000001</v>
      </c>
      <c r="G29" s="4">
        <v>63.5</v>
      </c>
      <c r="H29" s="4">
        <f t="shared" si="1"/>
        <v>66.94</v>
      </c>
      <c r="I29" s="5" t="s">
        <v>11</v>
      </c>
    </row>
    <row r="30" spans="1:9" ht="14.25">
      <c r="A30" s="4">
        <v>28</v>
      </c>
      <c r="B30" s="2" t="s">
        <v>10</v>
      </c>
      <c r="C30" s="2" t="str">
        <f>"郑立悟"</f>
        <v>郑立悟</v>
      </c>
      <c r="D30" s="2" t="str">
        <f t="shared" si="3"/>
        <v>女</v>
      </c>
      <c r="E30" s="2" t="str">
        <f>"202209040428"</f>
        <v>202209040428</v>
      </c>
      <c r="F30" s="4">
        <v>72.80000000000001</v>
      </c>
      <c r="G30" s="4">
        <v>62.5</v>
      </c>
      <c r="H30" s="4">
        <f t="shared" si="1"/>
        <v>66.62</v>
      </c>
      <c r="I30" s="5" t="s">
        <v>11</v>
      </c>
    </row>
    <row r="31" spans="1:9" ht="14.25">
      <c r="A31" s="4">
        <v>29</v>
      </c>
      <c r="B31" s="2" t="s">
        <v>10</v>
      </c>
      <c r="C31" s="2" t="str">
        <f>"高媛媛"</f>
        <v>高媛媛</v>
      </c>
      <c r="D31" s="2" t="str">
        <f t="shared" si="3"/>
        <v>女</v>
      </c>
      <c r="E31" s="2" t="str">
        <f>"202209040402"</f>
        <v>202209040402</v>
      </c>
      <c r="F31" s="4">
        <v>78</v>
      </c>
      <c r="G31" s="4">
        <v>58</v>
      </c>
      <c r="H31" s="4">
        <f t="shared" si="1"/>
        <v>66</v>
      </c>
      <c r="I31" s="5" t="s">
        <v>11</v>
      </c>
    </row>
    <row r="32" spans="1:9" ht="14.25">
      <c r="A32" s="4">
        <v>30</v>
      </c>
      <c r="B32" s="2" t="s">
        <v>10</v>
      </c>
      <c r="C32" s="2" t="str">
        <f>"潘文惠"</f>
        <v>潘文惠</v>
      </c>
      <c r="D32" s="2" t="str">
        <f t="shared" si="3"/>
        <v>女</v>
      </c>
      <c r="E32" s="2" t="str">
        <f>"202209040114"</f>
        <v>202209040114</v>
      </c>
      <c r="F32" s="4">
        <v>71.80000000000001</v>
      </c>
      <c r="G32" s="4">
        <v>62</v>
      </c>
      <c r="H32" s="4">
        <f t="shared" si="1"/>
        <v>65.92</v>
      </c>
      <c r="I32" s="5" t="s">
        <v>11</v>
      </c>
    </row>
    <row r="33" spans="1:9" ht="14.25">
      <c r="A33" s="4">
        <v>31</v>
      </c>
      <c r="B33" s="2" t="s">
        <v>12</v>
      </c>
      <c r="C33" s="2" t="str">
        <f>"吴亚玲"</f>
        <v>吴亚玲</v>
      </c>
      <c r="D33" s="2" t="str">
        <f t="shared" si="3"/>
        <v>女</v>
      </c>
      <c r="E33" s="2" t="str">
        <f>"202209040821"</f>
        <v>202209040821</v>
      </c>
      <c r="F33" s="4">
        <v>80.4</v>
      </c>
      <c r="G33" s="4">
        <v>71</v>
      </c>
      <c r="H33" s="4">
        <f aca="true" t="shared" si="4" ref="H33:H58">G33*0.6+F33*0.4</f>
        <v>74.76</v>
      </c>
      <c r="I33" s="5" t="s">
        <v>11</v>
      </c>
    </row>
    <row r="34" spans="1:9" ht="14.25">
      <c r="A34" s="4">
        <v>32</v>
      </c>
      <c r="B34" s="2" t="s">
        <v>12</v>
      </c>
      <c r="C34" s="2" t="str">
        <f>"冯德凤"</f>
        <v>冯德凤</v>
      </c>
      <c r="D34" s="2" t="str">
        <f t="shared" si="3"/>
        <v>女</v>
      </c>
      <c r="E34" s="2" t="str">
        <f>"202209040721"</f>
        <v>202209040721</v>
      </c>
      <c r="F34" s="4">
        <v>73.80000000000001</v>
      </c>
      <c r="G34" s="4">
        <v>73</v>
      </c>
      <c r="H34" s="4">
        <f t="shared" si="4"/>
        <v>73.32000000000001</v>
      </c>
      <c r="I34" s="5" t="s">
        <v>11</v>
      </c>
    </row>
    <row r="35" spans="1:9" ht="14.25">
      <c r="A35" s="4">
        <v>33</v>
      </c>
      <c r="B35" s="2" t="s">
        <v>12</v>
      </c>
      <c r="C35" s="2" t="str">
        <f>"马怀志"</f>
        <v>马怀志</v>
      </c>
      <c r="D35" s="2" t="str">
        <f>"男"</f>
        <v>男</v>
      </c>
      <c r="E35" s="2" t="str">
        <f>"202209040630"</f>
        <v>202209040630</v>
      </c>
      <c r="F35" s="4">
        <v>72</v>
      </c>
      <c r="G35" s="4">
        <v>72.5</v>
      </c>
      <c r="H35" s="4">
        <f t="shared" si="4"/>
        <v>72.3</v>
      </c>
      <c r="I35" s="5" t="s">
        <v>11</v>
      </c>
    </row>
    <row r="36" spans="1:9" ht="14.25">
      <c r="A36" s="4">
        <v>34</v>
      </c>
      <c r="B36" s="2" t="s">
        <v>12</v>
      </c>
      <c r="C36" s="2" t="str">
        <f>"张莺莺"</f>
        <v>张莺莺</v>
      </c>
      <c r="D36" s="2" t="str">
        <f aca="true" t="shared" si="5" ref="D36:D53">"女"</f>
        <v>女</v>
      </c>
      <c r="E36" s="2" t="str">
        <f>"202209040621"</f>
        <v>202209040621</v>
      </c>
      <c r="F36" s="4">
        <v>72.7</v>
      </c>
      <c r="G36" s="4">
        <v>70</v>
      </c>
      <c r="H36" s="4">
        <f t="shared" si="4"/>
        <v>71.08</v>
      </c>
      <c r="I36" s="5" t="s">
        <v>11</v>
      </c>
    </row>
    <row r="37" spans="1:9" ht="14.25">
      <c r="A37" s="4">
        <v>35</v>
      </c>
      <c r="B37" s="2" t="s">
        <v>12</v>
      </c>
      <c r="C37" s="2" t="str">
        <f>"苏培园"</f>
        <v>苏培园</v>
      </c>
      <c r="D37" s="2" t="str">
        <f t="shared" si="5"/>
        <v>女</v>
      </c>
      <c r="E37" s="2" t="str">
        <f>"202209040607"</f>
        <v>202209040607</v>
      </c>
      <c r="F37" s="4">
        <v>77.4</v>
      </c>
      <c r="G37" s="4">
        <v>66.5</v>
      </c>
      <c r="H37" s="4">
        <f t="shared" si="4"/>
        <v>70.86</v>
      </c>
      <c r="I37" s="5" t="s">
        <v>11</v>
      </c>
    </row>
    <row r="38" spans="1:9" ht="14.25">
      <c r="A38" s="4">
        <v>36</v>
      </c>
      <c r="B38" s="2" t="s">
        <v>12</v>
      </c>
      <c r="C38" s="2" t="str">
        <f>"武蕊"</f>
        <v>武蕊</v>
      </c>
      <c r="D38" s="2" t="str">
        <f t="shared" si="5"/>
        <v>女</v>
      </c>
      <c r="E38" s="2" t="str">
        <f>"202209040620"</f>
        <v>202209040620</v>
      </c>
      <c r="F38" s="4">
        <v>66.4</v>
      </c>
      <c r="G38" s="4">
        <v>73</v>
      </c>
      <c r="H38" s="4">
        <f t="shared" si="4"/>
        <v>70.36</v>
      </c>
      <c r="I38" s="5" t="s">
        <v>11</v>
      </c>
    </row>
    <row r="39" spans="1:9" ht="14.25">
      <c r="A39" s="4">
        <v>37</v>
      </c>
      <c r="B39" s="2" t="s">
        <v>12</v>
      </c>
      <c r="C39" s="2" t="str">
        <f>"沈香香"</f>
        <v>沈香香</v>
      </c>
      <c r="D39" s="2" t="str">
        <f t="shared" si="5"/>
        <v>女</v>
      </c>
      <c r="E39" s="2" t="str">
        <f>"202209040813"</f>
        <v>202209040813</v>
      </c>
      <c r="F39" s="4">
        <v>78.5</v>
      </c>
      <c r="G39" s="4">
        <v>63.5</v>
      </c>
      <c r="H39" s="4">
        <f t="shared" si="4"/>
        <v>69.5</v>
      </c>
      <c r="I39" s="5" t="s">
        <v>11</v>
      </c>
    </row>
    <row r="40" spans="1:9" ht="14.25">
      <c r="A40" s="4">
        <v>38</v>
      </c>
      <c r="B40" s="2" t="s">
        <v>12</v>
      </c>
      <c r="C40" s="2" t="str">
        <f>"曾得瑞"</f>
        <v>曾得瑞</v>
      </c>
      <c r="D40" s="2" t="str">
        <f t="shared" si="5"/>
        <v>女</v>
      </c>
      <c r="E40" s="2" t="str">
        <f>"202209040718"</f>
        <v>202209040718</v>
      </c>
      <c r="F40" s="4">
        <v>71.4</v>
      </c>
      <c r="G40" s="4">
        <v>66.5</v>
      </c>
      <c r="H40" s="4">
        <f t="shared" si="4"/>
        <v>68.46000000000001</v>
      </c>
      <c r="I40" s="5" t="s">
        <v>11</v>
      </c>
    </row>
    <row r="41" spans="1:9" ht="14.25">
      <c r="A41" s="4">
        <v>39</v>
      </c>
      <c r="B41" s="2" t="s">
        <v>12</v>
      </c>
      <c r="C41" s="2" t="str">
        <f>"陈俊"</f>
        <v>陈俊</v>
      </c>
      <c r="D41" s="2" t="str">
        <f t="shared" si="5"/>
        <v>女</v>
      </c>
      <c r="E41" s="2" t="str">
        <f>"202209040711"</f>
        <v>202209040711</v>
      </c>
      <c r="F41" s="4">
        <v>79.30000000000001</v>
      </c>
      <c r="G41" s="4">
        <v>60.5</v>
      </c>
      <c r="H41" s="4">
        <f t="shared" si="4"/>
        <v>68.02000000000001</v>
      </c>
      <c r="I41" s="5" t="s">
        <v>11</v>
      </c>
    </row>
    <row r="42" spans="1:9" ht="14.25">
      <c r="A42" s="4">
        <v>40</v>
      </c>
      <c r="B42" s="2" t="s">
        <v>12</v>
      </c>
      <c r="C42" s="2" t="str">
        <f>"魏维"</f>
        <v>魏维</v>
      </c>
      <c r="D42" s="2" t="str">
        <f t="shared" si="5"/>
        <v>女</v>
      </c>
      <c r="E42" s="2" t="str">
        <f>"202209040618"</f>
        <v>202209040618</v>
      </c>
      <c r="F42" s="4">
        <v>74.7</v>
      </c>
      <c r="G42" s="4">
        <v>63.5</v>
      </c>
      <c r="H42" s="4">
        <f t="shared" si="4"/>
        <v>67.98</v>
      </c>
      <c r="I42" s="5" t="s">
        <v>11</v>
      </c>
    </row>
    <row r="43" spans="1:9" ht="14.25">
      <c r="A43" s="4">
        <v>41</v>
      </c>
      <c r="B43" s="2" t="s">
        <v>12</v>
      </c>
      <c r="C43" s="2" t="str">
        <f>"李德娜"</f>
        <v>李德娜</v>
      </c>
      <c r="D43" s="2" t="str">
        <f t="shared" si="5"/>
        <v>女</v>
      </c>
      <c r="E43" s="2" t="str">
        <f>"202209040606"</f>
        <v>202209040606</v>
      </c>
      <c r="F43" s="4">
        <v>73.3</v>
      </c>
      <c r="G43" s="4">
        <v>64</v>
      </c>
      <c r="H43" s="4">
        <f t="shared" si="4"/>
        <v>67.72</v>
      </c>
      <c r="I43" s="5" t="s">
        <v>11</v>
      </c>
    </row>
    <row r="44" spans="1:9" ht="14.25">
      <c r="A44" s="4">
        <v>42</v>
      </c>
      <c r="B44" s="2" t="s">
        <v>12</v>
      </c>
      <c r="C44" s="2" t="str">
        <f>"刘倩"</f>
        <v>刘倩</v>
      </c>
      <c r="D44" s="2" t="str">
        <f t="shared" si="5"/>
        <v>女</v>
      </c>
      <c r="E44" s="2" t="str">
        <f>"202209040629"</f>
        <v>202209040629</v>
      </c>
      <c r="F44" s="4">
        <v>72.60000000000001</v>
      </c>
      <c r="G44" s="4">
        <v>64</v>
      </c>
      <c r="H44" s="4">
        <f t="shared" si="4"/>
        <v>67.44</v>
      </c>
      <c r="I44" s="5" t="s">
        <v>11</v>
      </c>
    </row>
    <row r="45" spans="1:9" ht="14.25">
      <c r="A45" s="4">
        <v>43</v>
      </c>
      <c r="B45" s="2" t="s">
        <v>12</v>
      </c>
      <c r="C45" s="2" t="str">
        <f>"周彩虹"</f>
        <v>周彩虹</v>
      </c>
      <c r="D45" s="2" t="str">
        <f t="shared" si="5"/>
        <v>女</v>
      </c>
      <c r="E45" s="2" t="str">
        <f>"202209040622"</f>
        <v>202209040622</v>
      </c>
      <c r="F45" s="4">
        <v>74.80000000000001</v>
      </c>
      <c r="G45" s="4">
        <v>62</v>
      </c>
      <c r="H45" s="4">
        <f t="shared" si="4"/>
        <v>67.12</v>
      </c>
      <c r="I45" s="5" t="s">
        <v>11</v>
      </c>
    </row>
    <row r="46" spans="1:9" ht="14.25">
      <c r="A46" s="4">
        <v>44</v>
      </c>
      <c r="B46" s="2" t="s">
        <v>12</v>
      </c>
      <c r="C46" s="2" t="str">
        <f>"黄璐瑶"</f>
        <v>黄璐瑶</v>
      </c>
      <c r="D46" s="2" t="str">
        <f t="shared" si="5"/>
        <v>女</v>
      </c>
      <c r="E46" s="2" t="str">
        <f>"202209040803"</f>
        <v>202209040803</v>
      </c>
      <c r="F46" s="4">
        <v>66</v>
      </c>
      <c r="G46" s="4">
        <v>67.5</v>
      </c>
      <c r="H46" s="4">
        <f t="shared" si="4"/>
        <v>66.9</v>
      </c>
      <c r="I46" s="5" t="s">
        <v>11</v>
      </c>
    </row>
    <row r="47" spans="1:9" ht="14.25">
      <c r="A47" s="4">
        <v>45</v>
      </c>
      <c r="B47" s="2" t="s">
        <v>12</v>
      </c>
      <c r="C47" s="2" t="str">
        <f>"郎禾禾"</f>
        <v>郎禾禾</v>
      </c>
      <c r="D47" s="2" t="str">
        <f t="shared" si="5"/>
        <v>女</v>
      </c>
      <c r="E47" s="2" t="str">
        <f>"202209040715"</f>
        <v>202209040715</v>
      </c>
      <c r="F47" s="4">
        <v>72.7</v>
      </c>
      <c r="G47" s="4">
        <v>63</v>
      </c>
      <c r="H47" s="4">
        <f t="shared" si="4"/>
        <v>66.88</v>
      </c>
      <c r="I47" s="5" t="s">
        <v>11</v>
      </c>
    </row>
    <row r="48" spans="1:9" ht="14.25">
      <c r="A48" s="4">
        <v>46</v>
      </c>
      <c r="B48" s="2" t="s">
        <v>12</v>
      </c>
      <c r="C48" s="2" t="str">
        <f>"王雪晴"</f>
        <v>王雪晴</v>
      </c>
      <c r="D48" s="2" t="str">
        <f t="shared" si="5"/>
        <v>女</v>
      </c>
      <c r="E48" s="2" t="str">
        <f>"202209040612"</f>
        <v>202209040612</v>
      </c>
      <c r="F48" s="4">
        <v>72.4</v>
      </c>
      <c r="G48" s="4">
        <v>63</v>
      </c>
      <c r="H48" s="4">
        <f t="shared" si="4"/>
        <v>66.76</v>
      </c>
      <c r="I48" s="5" t="s">
        <v>11</v>
      </c>
    </row>
    <row r="49" spans="1:9" ht="14.25">
      <c r="A49" s="4">
        <v>47</v>
      </c>
      <c r="B49" s="2" t="s">
        <v>12</v>
      </c>
      <c r="C49" s="2" t="str">
        <f>"张丹宁"</f>
        <v>张丹宁</v>
      </c>
      <c r="D49" s="2" t="str">
        <f t="shared" si="5"/>
        <v>女</v>
      </c>
      <c r="E49" s="2" t="str">
        <f>"202209040805"</f>
        <v>202209040805</v>
      </c>
      <c r="F49" s="4">
        <v>76.10000000000001</v>
      </c>
      <c r="G49" s="4">
        <v>60.5</v>
      </c>
      <c r="H49" s="4">
        <f t="shared" si="4"/>
        <v>66.74000000000001</v>
      </c>
      <c r="I49" s="5" t="s">
        <v>11</v>
      </c>
    </row>
    <row r="50" spans="1:9" ht="14.25">
      <c r="A50" s="4">
        <v>48</v>
      </c>
      <c r="B50" s="2" t="s">
        <v>12</v>
      </c>
      <c r="C50" s="2" t="str">
        <f>"胡倩倩"</f>
        <v>胡倩倩</v>
      </c>
      <c r="D50" s="2" t="str">
        <f t="shared" si="5"/>
        <v>女</v>
      </c>
      <c r="E50" s="2" t="str">
        <f>"202209040702"</f>
        <v>202209040702</v>
      </c>
      <c r="F50" s="4">
        <v>73.5</v>
      </c>
      <c r="G50" s="4">
        <v>61.5</v>
      </c>
      <c r="H50" s="4">
        <f t="shared" si="4"/>
        <v>66.3</v>
      </c>
      <c r="I50" s="5" t="s">
        <v>11</v>
      </c>
    </row>
    <row r="51" spans="1:9" ht="14.25">
      <c r="A51" s="4">
        <v>49</v>
      </c>
      <c r="B51" s="2" t="s">
        <v>12</v>
      </c>
      <c r="C51" s="2" t="str">
        <f>"张慧"</f>
        <v>张慧</v>
      </c>
      <c r="D51" s="2" t="str">
        <f t="shared" si="5"/>
        <v>女</v>
      </c>
      <c r="E51" s="2" t="str">
        <f>"202209040626"</f>
        <v>202209040626</v>
      </c>
      <c r="F51" s="4">
        <v>60.4</v>
      </c>
      <c r="G51" s="4">
        <v>70</v>
      </c>
      <c r="H51" s="4">
        <f t="shared" si="4"/>
        <v>66.16</v>
      </c>
      <c r="I51" s="5" t="s">
        <v>11</v>
      </c>
    </row>
    <row r="52" spans="1:9" ht="14.25">
      <c r="A52" s="4">
        <v>50</v>
      </c>
      <c r="B52" s="2" t="s">
        <v>12</v>
      </c>
      <c r="C52" s="2" t="str">
        <f>"陈慧"</f>
        <v>陈慧</v>
      </c>
      <c r="D52" s="2" t="str">
        <f t="shared" si="5"/>
        <v>女</v>
      </c>
      <c r="E52" s="2" t="str">
        <f>"202209040802"</f>
        <v>202209040802</v>
      </c>
      <c r="F52" s="4">
        <v>73.7</v>
      </c>
      <c r="G52" s="4">
        <v>61</v>
      </c>
      <c r="H52" s="4">
        <f t="shared" si="4"/>
        <v>66.08000000000001</v>
      </c>
      <c r="I52" s="5" t="s">
        <v>11</v>
      </c>
    </row>
    <row r="53" spans="1:9" ht="14.25">
      <c r="A53" s="4">
        <v>51</v>
      </c>
      <c r="B53" s="2" t="s">
        <v>12</v>
      </c>
      <c r="C53" s="2" t="str">
        <f>"侯利平"</f>
        <v>侯利平</v>
      </c>
      <c r="D53" s="2" t="str">
        <f t="shared" si="5"/>
        <v>女</v>
      </c>
      <c r="E53" s="2" t="str">
        <f>"202209040726"</f>
        <v>202209040726</v>
      </c>
      <c r="F53" s="4">
        <v>76.6</v>
      </c>
      <c r="G53" s="4">
        <v>58.5</v>
      </c>
      <c r="H53" s="4">
        <f t="shared" si="4"/>
        <v>65.74000000000001</v>
      </c>
      <c r="I53" s="5" t="s">
        <v>11</v>
      </c>
    </row>
    <row r="54" spans="1:9" ht="14.25">
      <c r="A54" s="4">
        <v>52</v>
      </c>
      <c r="B54" s="2" t="s">
        <v>12</v>
      </c>
      <c r="C54" s="2" t="str">
        <f>"唐雪辉"</f>
        <v>唐雪辉</v>
      </c>
      <c r="D54" s="2" t="str">
        <f>"男"</f>
        <v>男</v>
      </c>
      <c r="E54" s="2" t="str">
        <f>"202209040530"</f>
        <v>202209040530</v>
      </c>
      <c r="F54" s="4">
        <v>78.5</v>
      </c>
      <c r="G54" s="4">
        <v>57</v>
      </c>
      <c r="H54" s="4">
        <f t="shared" si="4"/>
        <v>65.6</v>
      </c>
      <c r="I54" s="5" t="s">
        <v>11</v>
      </c>
    </row>
    <row r="55" spans="1:9" ht="14.25">
      <c r="A55" s="4">
        <v>53</v>
      </c>
      <c r="B55" s="2" t="s">
        <v>12</v>
      </c>
      <c r="C55" s="2" t="str">
        <f>"杨洋"</f>
        <v>杨洋</v>
      </c>
      <c r="D55" s="2" t="str">
        <f>"男"</f>
        <v>男</v>
      </c>
      <c r="E55" s="2" t="str">
        <f>"202209040627"</f>
        <v>202209040627</v>
      </c>
      <c r="F55" s="4">
        <v>70.2</v>
      </c>
      <c r="G55" s="4">
        <v>62.5</v>
      </c>
      <c r="H55" s="4">
        <f t="shared" si="4"/>
        <v>65.58</v>
      </c>
      <c r="I55" s="5" t="s">
        <v>11</v>
      </c>
    </row>
    <row r="56" spans="1:9" ht="14.25">
      <c r="A56" s="4">
        <v>54</v>
      </c>
      <c r="B56" s="2" t="s">
        <v>12</v>
      </c>
      <c r="C56" s="2" t="str">
        <f>"尹桃桃"</f>
        <v>尹桃桃</v>
      </c>
      <c r="D56" s="2" t="str">
        <f>"女"</f>
        <v>女</v>
      </c>
      <c r="E56" s="2" t="str">
        <f>"202209040525"</f>
        <v>202209040525</v>
      </c>
      <c r="F56" s="4">
        <v>69.5</v>
      </c>
      <c r="G56" s="4">
        <v>62.5</v>
      </c>
      <c r="H56" s="4">
        <f t="shared" si="4"/>
        <v>65.3</v>
      </c>
      <c r="I56" s="5" t="s">
        <v>11</v>
      </c>
    </row>
    <row r="57" spans="1:9" ht="14.25">
      <c r="A57" s="4">
        <v>55</v>
      </c>
      <c r="B57" s="2" t="s">
        <v>12</v>
      </c>
      <c r="C57" s="2" t="str">
        <f>"汤利梅"</f>
        <v>汤利梅</v>
      </c>
      <c r="D57" s="2" t="str">
        <f>"女"</f>
        <v>女</v>
      </c>
      <c r="E57" s="2" t="str">
        <f>"202209040722"</f>
        <v>202209040722</v>
      </c>
      <c r="F57" s="4">
        <v>63.1</v>
      </c>
      <c r="G57" s="4">
        <v>66.5</v>
      </c>
      <c r="H57" s="4">
        <f t="shared" si="4"/>
        <v>65.14</v>
      </c>
      <c r="I57" s="5" t="s">
        <v>11</v>
      </c>
    </row>
    <row r="58" spans="1:9" ht="14.25">
      <c r="A58" s="4">
        <v>56</v>
      </c>
      <c r="B58" s="2" t="s">
        <v>12</v>
      </c>
      <c r="C58" s="2" t="str">
        <f>"李一诺"</f>
        <v>李一诺</v>
      </c>
      <c r="D58" s="2" t="str">
        <f>"女"</f>
        <v>女</v>
      </c>
      <c r="E58" s="2" t="str">
        <f>"202209040614"</f>
        <v>202209040614</v>
      </c>
      <c r="F58" s="4">
        <v>69.6</v>
      </c>
      <c r="G58" s="4">
        <v>62</v>
      </c>
      <c r="H58" s="4">
        <f t="shared" si="4"/>
        <v>65.03999999999999</v>
      </c>
      <c r="I58" s="5" t="s">
        <v>11</v>
      </c>
    </row>
    <row r="59" spans="1:9" ht="14.25">
      <c r="A59" s="4">
        <v>57</v>
      </c>
      <c r="B59" s="2" t="s">
        <v>13</v>
      </c>
      <c r="C59" s="2" t="str">
        <f>"朱利平"</f>
        <v>朱利平</v>
      </c>
      <c r="D59" s="2" t="str">
        <f aca="true" t="shared" si="6" ref="D59:D75">"女"</f>
        <v>女</v>
      </c>
      <c r="E59" s="2" t="str">
        <f>"202209043011"</f>
        <v>202209043011</v>
      </c>
      <c r="F59" s="4">
        <v>77</v>
      </c>
      <c r="G59" s="4">
        <v>79</v>
      </c>
      <c r="H59" s="4">
        <f aca="true" t="shared" si="7" ref="H59:H82">G59*0.6+F59*0.4</f>
        <v>78.2</v>
      </c>
      <c r="I59" s="5" t="s">
        <v>11</v>
      </c>
    </row>
    <row r="60" spans="1:9" ht="14.25">
      <c r="A60" s="4">
        <v>58</v>
      </c>
      <c r="B60" s="2" t="s">
        <v>13</v>
      </c>
      <c r="C60" s="2" t="str">
        <f>"李伟"</f>
        <v>李伟</v>
      </c>
      <c r="D60" s="2" t="str">
        <f t="shared" si="6"/>
        <v>女</v>
      </c>
      <c r="E60" s="2" t="str">
        <f>"202209040908"</f>
        <v>202209040908</v>
      </c>
      <c r="F60" s="4">
        <v>76.1</v>
      </c>
      <c r="G60" s="4">
        <v>79</v>
      </c>
      <c r="H60" s="4">
        <f t="shared" si="7"/>
        <v>77.84</v>
      </c>
      <c r="I60" s="5" t="s">
        <v>11</v>
      </c>
    </row>
    <row r="61" spans="1:9" ht="14.25">
      <c r="A61" s="4">
        <v>59</v>
      </c>
      <c r="B61" s="2" t="s">
        <v>13</v>
      </c>
      <c r="C61" s="2" t="str">
        <f>"王子璇"</f>
        <v>王子璇</v>
      </c>
      <c r="D61" s="2" t="str">
        <f t="shared" si="6"/>
        <v>女</v>
      </c>
      <c r="E61" s="2" t="str">
        <f>"202209040909"</f>
        <v>202209040909</v>
      </c>
      <c r="F61" s="4">
        <v>74.9</v>
      </c>
      <c r="G61" s="4">
        <v>74.5</v>
      </c>
      <c r="H61" s="4">
        <f t="shared" si="7"/>
        <v>74.66</v>
      </c>
      <c r="I61" s="5" t="s">
        <v>11</v>
      </c>
    </row>
    <row r="62" spans="1:9" ht="14.25">
      <c r="A62" s="4">
        <v>60</v>
      </c>
      <c r="B62" s="2" t="s">
        <v>13</v>
      </c>
      <c r="C62" s="2" t="str">
        <f>"李士林"</f>
        <v>李士林</v>
      </c>
      <c r="D62" s="2" t="str">
        <f t="shared" si="6"/>
        <v>女</v>
      </c>
      <c r="E62" s="2" t="str">
        <f>"202209043005"</f>
        <v>202209043005</v>
      </c>
      <c r="F62" s="4">
        <v>78.5</v>
      </c>
      <c r="G62" s="4">
        <v>69</v>
      </c>
      <c r="H62" s="4">
        <f t="shared" si="7"/>
        <v>72.8</v>
      </c>
      <c r="I62" s="5" t="s">
        <v>11</v>
      </c>
    </row>
    <row r="63" spans="1:9" ht="14.25">
      <c r="A63" s="4">
        <v>61</v>
      </c>
      <c r="B63" s="2" t="s">
        <v>13</v>
      </c>
      <c r="C63" s="2" t="str">
        <f>"卢利"</f>
        <v>卢利</v>
      </c>
      <c r="D63" s="2" t="str">
        <f t="shared" si="6"/>
        <v>女</v>
      </c>
      <c r="E63" s="2" t="str">
        <f>"202209041125"</f>
        <v>202209041125</v>
      </c>
      <c r="F63" s="4">
        <v>83.2</v>
      </c>
      <c r="G63" s="4">
        <v>64</v>
      </c>
      <c r="H63" s="4">
        <f t="shared" si="7"/>
        <v>71.68</v>
      </c>
      <c r="I63" s="5" t="s">
        <v>11</v>
      </c>
    </row>
    <row r="64" spans="1:9" ht="14.25">
      <c r="A64" s="4">
        <v>62</v>
      </c>
      <c r="B64" s="2" t="s">
        <v>13</v>
      </c>
      <c r="C64" s="2" t="str">
        <f>"赵素丽"</f>
        <v>赵素丽</v>
      </c>
      <c r="D64" s="2" t="str">
        <f t="shared" si="6"/>
        <v>女</v>
      </c>
      <c r="E64" s="2" t="str">
        <f>"202209041023"</f>
        <v>202209041023</v>
      </c>
      <c r="F64" s="4">
        <v>72.9</v>
      </c>
      <c r="G64" s="4">
        <v>68</v>
      </c>
      <c r="H64" s="4">
        <f t="shared" si="7"/>
        <v>69.96000000000001</v>
      </c>
      <c r="I64" s="5" t="s">
        <v>11</v>
      </c>
    </row>
    <row r="65" spans="1:9" ht="14.25">
      <c r="A65" s="4">
        <v>63</v>
      </c>
      <c r="B65" s="2" t="s">
        <v>13</v>
      </c>
      <c r="C65" s="2" t="str">
        <f>"汪荣荣"</f>
        <v>汪荣荣</v>
      </c>
      <c r="D65" s="2" t="str">
        <f t="shared" si="6"/>
        <v>女</v>
      </c>
      <c r="E65" s="2" t="str">
        <f>"202209040903"</f>
        <v>202209040903</v>
      </c>
      <c r="F65" s="4">
        <v>83.9</v>
      </c>
      <c r="G65" s="4">
        <v>59</v>
      </c>
      <c r="H65" s="4">
        <f t="shared" si="7"/>
        <v>68.96000000000001</v>
      </c>
      <c r="I65" s="5" t="s">
        <v>11</v>
      </c>
    </row>
    <row r="66" spans="1:9" ht="14.25">
      <c r="A66" s="4">
        <v>64</v>
      </c>
      <c r="B66" s="2" t="s">
        <v>13</v>
      </c>
      <c r="C66" s="2" t="str">
        <f>"屈肖肖"</f>
        <v>屈肖肖</v>
      </c>
      <c r="D66" s="2" t="str">
        <f t="shared" si="6"/>
        <v>女</v>
      </c>
      <c r="E66" s="2" t="str">
        <f>"202209041008"</f>
        <v>202209041008</v>
      </c>
      <c r="F66" s="4">
        <v>72.10000000000001</v>
      </c>
      <c r="G66" s="4">
        <v>65</v>
      </c>
      <c r="H66" s="4">
        <f t="shared" si="7"/>
        <v>67.84</v>
      </c>
      <c r="I66" s="5" t="s">
        <v>11</v>
      </c>
    </row>
    <row r="67" spans="1:9" ht="14.25">
      <c r="A67" s="4">
        <v>65</v>
      </c>
      <c r="B67" s="2" t="s">
        <v>13</v>
      </c>
      <c r="C67" s="2" t="str">
        <f>"臧晴"</f>
        <v>臧晴</v>
      </c>
      <c r="D67" s="2" t="str">
        <f t="shared" si="6"/>
        <v>女</v>
      </c>
      <c r="E67" s="2" t="str">
        <f>"202209043004"</f>
        <v>202209043004</v>
      </c>
      <c r="F67" s="4">
        <v>76.60000000000001</v>
      </c>
      <c r="G67" s="4">
        <v>62</v>
      </c>
      <c r="H67" s="4">
        <f t="shared" si="7"/>
        <v>67.84</v>
      </c>
      <c r="I67" s="5" t="s">
        <v>11</v>
      </c>
    </row>
    <row r="68" spans="1:9" ht="14.25">
      <c r="A68" s="4">
        <v>66</v>
      </c>
      <c r="B68" s="2" t="s">
        <v>13</v>
      </c>
      <c r="C68" s="2" t="str">
        <f>"杨丽"</f>
        <v>杨丽</v>
      </c>
      <c r="D68" s="2" t="str">
        <f t="shared" si="6"/>
        <v>女</v>
      </c>
      <c r="E68" s="2" t="str">
        <f>"202209043007"</f>
        <v>202209043007</v>
      </c>
      <c r="F68" s="4">
        <v>75.4</v>
      </c>
      <c r="G68" s="4">
        <v>62</v>
      </c>
      <c r="H68" s="4">
        <f t="shared" si="7"/>
        <v>67.36</v>
      </c>
      <c r="I68" s="5" t="s">
        <v>11</v>
      </c>
    </row>
    <row r="69" spans="1:9" ht="14.25">
      <c r="A69" s="4">
        <v>67</v>
      </c>
      <c r="B69" s="2" t="s">
        <v>13</v>
      </c>
      <c r="C69" s="2" t="str">
        <f>"李凤娟"</f>
        <v>李凤娟</v>
      </c>
      <c r="D69" s="2" t="str">
        <f t="shared" si="6"/>
        <v>女</v>
      </c>
      <c r="E69" s="2" t="str">
        <f>"202209041001"</f>
        <v>202209041001</v>
      </c>
      <c r="F69" s="4">
        <v>68.7</v>
      </c>
      <c r="G69" s="4">
        <v>66</v>
      </c>
      <c r="H69" s="4">
        <f t="shared" si="7"/>
        <v>67.08000000000001</v>
      </c>
      <c r="I69" s="5" t="s">
        <v>11</v>
      </c>
    </row>
    <row r="70" spans="1:9" ht="14.25">
      <c r="A70" s="4">
        <v>68</v>
      </c>
      <c r="B70" s="2" t="s">
        <v>13</v>
      </c>
      <c r="C70" s="2" t="str">
        <f>"李峥荣"</f>
        <v>李峥荣</v>
      </c>
      <c r="D70" s="2" t="str">
        <f t="shared" si="6"/>
        <v>女</v>
      </c>
      <c r="E70" s="2" t="str">
        <f>"202209040919"</f>
        <v>202209040919</v>
      </c>
      <c r="F70" s="4">
        <v>70.80000000000001</v>
      </c>
      <c r="G70" s="4">
        <v>64</v>
      </c>
      <c r="H70" s="4">
        <f t="shared" si="7"/>
        <v>66.72</v>
      </c>
      <c r="I70" s="5" t="s">
        <v>11</v>
      </c>
    </row>
    <row r="71" spans="1:9" ht="14.25">
      <c r="A71" s="4">
        <v>69</v>
      </c>
      <c r="B71" s="2" t="s">
        <v>13</v>
      </c>
      <c r="C71" s="2" t="str">
        <f>"李苗苗"</f>
        <v>李苗苗</v>
      </c>
      <c r="D71" s="2" t="str">
        <f t="shared" si="6"/>
        <v>女</v>
      </c>
      <c r="E71" s="2" t="str">
        <f>"202209041117"</f>
        <v>202209041117</v>
      </c>
      <c r="F71" s="4">
        <v>72.1</v>
      </c>
      <c r="G71" s="4">
        <v>63</v>
      </c>
      <c r="H71" s="4">
        <f t="shared" si="7"/>
        <v>66.64</v>
      </c>
      <c r="I71" s="5" t="s">
        <v>11</v>
      </c>
    </row>
    <row r="72" spans="1:9" ht="14.25">
      <c r="A72" s="4">
        <v>70</v>
      </c>
      <c r="B72" s="2" t="s">
        <v>13</v>
      </c>
      <c r="C72" s="2" t="str">
        <f>"陶庆双"</f>
        <v>陶庆双</v>
      </c>
      <c r="D72" s="2" t="str">
        <f t="shared" si="6"/>
        <v>女</v>
      </c>
      <c r="E72" s="2" t="str">
        <f>"202209040924"</f>
        <v>202209040924</v>
      </c>
      <c r="F72" s="4">
        <v>76.2</v>
      </c>
      <c r="G72" s="4">
        <v>60</v>
      </c>
      <c r="H72" s="4">
        <f t="shared" si="7"/>
        <v>66.48</v>
      </c>
      <c r="I72" s="5" t="s">
        <v>11</v>
      </c>
    </row>
    <row r="73" spans="1:9" ht="14.25">
      <c r="A73" s="4">
        <v>71</v>
      </c>
      <c r="B73" s="2" t="s">
        <v>13</v>
      </c>
      <c r="C73" s="2" t="str">
        <f>"王紫奇"</f>
        <v>王紫奇</v>
      </c>
      <c r="D73" s="2" t="str">
        <f t="shared" si="6"/>
        <v>女</v>
      </c>
      <c r="E73" s="2" t="str">
        <f>"202209041028"</f>
        <v>202209041028</v>
      </c>
      <c r="F73" s="4">
        <v>70.7</v>
      </c>
      <c r="G73" s="4">
        <v>63.5</v>
      </c>
      <c r="H73" s="4">
        <f t="shared" si="7"/>
        <v>66.38</v>
      </c>
      <c r="I73" s="5" t="s">
        <v>11</v>
      </c>
    </row>
    <row r="74" spans="1:9" ht="14.25">
      <c r="A74" s="4">
        <v>72</v>
      </c>
      <c r="B74" s="2" t="s">
        <v>13</v>
      </c>
      <c r="C74" s="2" t="str">
        <f>"吕佑美"</f>
        <v>吕佑美</v>
      </c>
      <c r="D74" s="2" t="str">
        <f t="shared" si="6"/>
        <v>女</v>
      </c>
      <c r="E74" s="2" t="str">
        <f>"202209041124"</f>
        <v>202209041124</v>
      </c>
      <c r="F74" s="4">
        <v>72</v>
      </c>
      <c r="G74" s="4">
        <v>62.5</v>
      </c>
      <c r="H74" s="4">
        <f t="shared" si="7"/>
        <v>66.3</v>
      </c>
      <c r="I74" s="5" t="s">
        <v>11</v>
      </c>
    </row>
    <row r="75" spans="1:9" ht="14.25">
      <c r="A75" s="4">
        <v>73</v>
      </c>
      <c r="B75" s="2" t="s">
        <v>13</v>
      </c>
      <c r="C75" s="2" t="str">
        <f>"张柯樱"</f>
        <v>张柯樱</v>
      </c>
      <c r="D75" s="2" t="str">
        <f t="shared" si="6"/>
        <v>女</v>
      </c>
      <c r="E75" s="2" t="str">
        <f>"202209041102"</f>
        <v>202209041102</v>
      </c>
      <c r="F75" s="4">
        <v>61.8</v>
      </c>
      <c r="G75" s="4">
        <v>69</v>
      </c>
      <c r="H75" s="4">
        <f t="shared" si="7"/>
        <v>66.12</v>
      </c>
      <c r="I75" s="5" t="s">
        <v>11</v>
      </c>
    </row>
    <row r="76" spans="1:9" ht="14.25">
      <c r="A76" s="4">
        <v>74</v>
      </c>
      <c r="B76" s="2" t="s">
        <v>13</v>
      </c>
      <c r="C76" s="2" t="str">
        <f>"段松瑞"</f>
        <v>段松瑞</v>
      </c>
      <c r="D76" s="2" t="str">
        <f>"男"</f>
        <v>男</v>
      </c>
      <c r="E76" s="2" t="str">
        <f>"202209043008"</f>
        <v>202209043008</v>
      </c>
      <c r="F76" s="4">
        <v>70</v>
      </c>
      <c r="G76" s="4">
        <v>63</v>
      </c>
      <c r="H76" s="4">
        <f t="shared" si="7"/>
        <v>65.8</v>
      </c>
      <c r="I76" s="5" t="s">
        <v>11</v>
      </c>
    </row>
    <row r="77" spans="1:9" ht="14.25">
      <c r="A77" s="4">
        <v>75</v>
      </c>
      <c r="B77" s="2" t="s">
        <v>13</v>
      </c>
      <c r="C77" s="2" t="str">
        <f>"张瑞雪"</f>
        <v>张瑞雪</v>
      </c>
      <c r="D77" s="2" t="str">
        <f aca="true" t="shared" si="8" ref="D77:D84">"女"</f>
        <v>女</v>
      </c>
      <c r="E77" s="2" t="str">
        <f>"202209043014"</f>
        <v>202209043014</v>
      </c>
      <c r="F77" s="4">
        <v>81.80000000000001</v>
      </c>
      <c r="G77" s="4">
        <v>55</v>
      </c>
      <c r="H77" s="4">
        <f t="shared" si="7"/>
        <v>65.72</v>
      </c>
      <c r="I77" s="5" t="s">
        <v>11</v>
      </c>
    </row>
    <row r="78" spans="1:9" ht="14.25">
      <c r="A78" s="4">
        <v>76</v>
      </c>
      <c r="B78" s="2" t="s">
        <v>13</v>
      </c>
      <c r="C78" s="2" t="str">
        <f>"李晓艳"</f>
        <v>李晓艳</v>
      </c>
      <c r="D78" s="2" t="str">
        <f t="shared" si="8"/>
        <v>女</v>
      </c>
      <c r="E78" s="2" t="str">
        <f>"202209043017"</f>
        <v>202209043017</v>
      </c>
      <c r="F78" s="4">
        <v>73.30000000000001</v>
      </c>
      <c r="G78" s="4">
        <v>60</v>
      </c>
      <c r="H78" s="4">
        <f t="shared" si="7"/>
        <v>65.32000000000001</v>
      </c>
      <c r="I78" s="5" t="s">
        <v>11</v>
      </c>
    </row>
    <row r="79" spans="1:9" ht="14.25">
      <c r="A79" s="4">
        <v>77</v>
      </c>
      <c r="B79" s="2" t="s">
        <v>13</v>
      </c>
      <c r="C79" s="2" t="str">
        <f>"杨苗苗"</f>
        <v>杨苗苗</v>
      </c>
      <c r="D79" s="2" t="str">
        <f t="shared" si="8"/>
        <v>女</v>
      </c>
      <c r="E79" s="2" t="str">
        <f>"202209041011"</f>
        <v>202209041011</v>
      </c>
      <c r="F79" s="4">
        <v>76.10000000000001</v>
      </c>
      <c r="G79" s="4">
        <v>58</v>
      </c>
      <c r="H79" s="4">
        <f t="shared" si="7"/>
        <v>65.24000000000001</v>
      </c>
      <c r="I79" s="5" t="s">
        <v>11</v>
      </c>
    </row>
    <row r="80" spans="1:9" ht="14.25">
      <c r="A80" s="4">
        <v>78</v>
      </c>
      <c r="B80" s="2" t="s">
        <v>13</v>
      </c>
      <c r="C80" s="2" t="str">
        <f>"廉欣"</f>
        <v>廉欣</v>
      </c>
      <c r="D80" s="2" t="str">
        <f t="shared" si="8"/>
        <v>女</v>
      </c>
      <c r="E80" s="2" t="str">
        <f>"202209041123"</f>
        <v>202209041123</v>
      </c>
      <c r="F80" s="4">
        <v>81.6</v>
      </c>
      <c r="G80" s="4">
        <v>54</v>
      </c>
      <c r="H80" s="4">
        <f t="shared" si="7"/>
        <v>65.03999999999999</v>
      </c>
      <c r="I80" s="5" t="s">
        <v>11</v>
      </c>
    </row>
    <row r="81" spans="1:9" ht="14.25">
      <c r="A81" s="4">
        <v>79</v>
      </c>
      <c r="B81" s="2" t="s">
        <v>13</v>
      </c>
      <c r="C81" s="2" t="str">
        <f>"高曦曦"</f>
        <v>高曦曦</v>
      </c>
      <c r="D81" s="2" t="str">
        <f t="shared" si="8"/>
        <v>女</v>
      </c>
      <c r="E81" s="2" t="str">
        <f>"202209041027"</f>
        <v>202209041027</v>
      </c>
      <c r="F81" s="4">
        <v>67.1</v>
      </c>
      <c r="G81" s="4">
        <v>63</v>
      </c>
      <c r="H81" s="4">
        <f t="shared" si="7"/>
        <v>64.64</v>
      </c>
      <c r="I81" s="5" t="s">
        <v>11</v>
      </c>
    </row>
    <row r="82" spans="1:9" ht="14.25">
      <c r="A82" s="4">
        <v>80</v>
      </c>
      <c r="B82" s="2" t="s">
        <v>13</v>
      </c>
      <c r="C82" s="2" t="str">
        <f>"訾玉婷"</f>
        <v>訾玉婷</v>
      </c>
      <c r="D82" s="2" t="str">
        <f t="shared" si="8"/>
        <v>女</v>
      </c>
      <c r="E82" s="2" t="str">
        <f>"202209040901"</f>
        <v>202209040901</v>
      </c>
      <c r="F82" s="4">
        <v>64</v>
      </c>
      <c r="G82" s="4">
        <v>65</v>
      </c>
      <c r="H82" s="4">
        <f t="shared" si="7"/>
        <v>64.6</v>
      </c>
      <c r="I82" s="5" t="s">
        <v>11</v>
      </c>
    </row>
    <row r="83" spans="1:9" ht="14.25">
      <c r="A83" s="4">
        <v>81</v>
      </c>
      <c r="B83" s="2" t="s">
        <v>14</v>
      </c>
      <c r="C83" s="2" t="str">
        <f>"李文"</f>
        <v>李文</v>
      </c>
      <c r="D83" s="2" t="str">
        <f t="shared" si="8"/>
        <v>女</v>
      </c>
      <c r="E83" s="2" t="str">
        <f>"202209041403"</f>
        <v>202209041403</v>
      </c>
      <c r="F83" s="4">
        <v>78.5</v>
      </c>
      <c r="G83" s="4">
        <v>97</v>
      </c>
      <c r="H83" s="4">
        <f aca="true" t="shared" si="9" ref="H83:H106">G83*0.6+F83*0.4</f>
        <v>89.6</v>
      </c>
      <c r="I83" s="5" t="s">
        <v>15</v>
      </c>
    </row>
    <row r="84" spans="1:9" ht="14.25">
      <c r="A84" s="4">
        <v>82</v>
      </c>
      <c r="B84" s="2" t="s">
        <v>14</v>
      </c>
      <c r="C84" s="2" t="str">
        <f>"冯琼琼"</f>
        <v>冯琼琼</v>
      </c>
      <c r="D84" s="2" t="str">
        <f t="shared" si="8"/>
        <v>女</v>
      </c>
      <c r="E84" s="2" t="str">
        <f>"202209041401"</f>
        <v>202209041401</v>
      </c>
      <c r="F84" s="4">
        <v>82.6</v>
      </c>
      <c r="G84" s="4">
        <v>94</v>
      </c>
      <c r="H84" s="4">
        <f t="shared" si="9"/>
        <v>89.44</v>
      </c>
      <c r="I84" s="5" t="s">
        <v>15</v>
      </c>
    </row>
    <row r="85" spans="1:9" ht="14.25">
      <c r="A85" s="4">
        <v>83</v>
      </c>
      <c r="B85" s="2" t="s">
        <v>14</v>
      </c>
      <c r="C85" s="2" t="str">
        <f>"王雷"</f>
        <v>王雷</v>
      </c>
      <c r="D85" s="2" t="str">
        <f>"男"</f>
        <v>男</v>
      </c>
      <c r="E85" s="2" t="str">
        <f>"202209041511"</f>
        <v>202209041511</v>
      </c>
      <c r="F85" s="4">
        <v>70.60000000000001</v>
      </c>
      <c r="G85" s="4">
        <v>100</v>
      </c>
      <c r="H85" s="4">
        <f t="shared" si="9"/>
        <v>88.24000000000001</v>
      </c>
      <c r="I85" s="5" t="s">
        <v>15</v>
      </c>
    </row>
    <row r="86" spans="1:9" ht="14.25">
      <c r="A86" s="4">
        <v>84</v>
      </c>
      <c r="B86" s="2" t="s">
        <v>14</v>
      </c>
      <c r="C86" s="2" t="str">
        <f>"李祥"</f>
        <v>李祥</v>
      </c>
      <c r="D86" s="2" t="str">
        <f>"男"</f>
        <v>男</v>
      </c>
      <c r="E86" s="2" t="str">
        <f>"202209041321"</f>
        <v>202209041321</v>
      </c>
      <c r="F86" s="4">
        <v>77.7</v>
      </c>
      <c r="G86" s="4">
        <v>95</v>
      </c>
      <c r="H86" s="4">
        <f t="shared" si="9"/>
        <v>88.08</v>
      </c>
      <c r="I86" s="5" t="s">
        <v>15</v>
      </c>
    </row>
    <row r="87" spans="1:9" ht="14.25">
      <c r="A87" s="4">
        <v>85</v>
      </c>
      <c r="B87" s="2" t="s">
        <v>14</v>
      </c>
      <c r="C87" s="2" t="str">
        <f>"王慧洁"</f>
        <v>王慧洁</v>
      </c>
      <c r="D87" s="2" t="str">
        <f>"女"</f>
        <v>女</v>
      </c>
      <c r="E87" s="2" t="str">
        <f>"202209041409"</f>
        <v>202209041409</v>
      </c>
      <c r="F87" s="4">
        <v>72.60000000000001</v>
      </c>
      <c r="G87" s="4">
        <v>97</v>
      </c>
      <c r="H87" s="4">
        <f t="shared" si="9"/>
        <v>87.24000000000001</v>
      </c>
      <c r="I87" s="5" t="s">
        <v>15</v>
      </c>
    </row>
    <row r="88" spans="1:9" ht="14.25">
      <c r="A88" s="4">
        <v>86</v>
      </c>
      <c r="B88" s="2" t="s">
        <v>14</v>
      </c>
      <c r="C88" s="2" t="str">
        <f>"董可"</f>
        <v>董可</v>
      </c>
      <c r="D88" s="2" t="str">
        <f>"女"</f>
        <v>女</v>
      </c>
      <c r="E88" s="2" t="str">
        <f>"202209041402"</f>
        <v>202209041402</v>
      </c>
      <c r="F88" s="4">
        <v>79.30000000000001</v>
      </c>
      <c r="G88" s="4">
        <v>91</v>
      </c>
      <c r="H88" s="4">
        <f t="shared" si="9"/>
        <v>86.32000000000001</v>
      </c>
      <c r="I88" s="5" t="s">
        <v>15</v>
      </c>
    </row>
    <row r="89" spans="1:9" ht="14.25">
      <c r="A89" s="4">
        <v>87</v>
      </c>
      <c r="B89" s="2" t="s">
        <v>14</v>
      </c>
      <c r="C89" s="2" t="str">
        <f>"袁媛"</f>
        <v>袁媛</v>
      </c>
      <c r="D89" s="2" t="str">
        <f>"女"</f>
        <v>女</v>
      </c>
      <c r="E89" s="2" t="str">
        <f>"202209041416"</f>
        <v>202209041416</v>
      </c>
      <c r="F89" s="4">
        <v>75.5</v>
      </c>
      <c r="G89" s="4">
        <v>92</v>
      </c>
      <c r="H89" s="4">
        <f t="shared" si="9"/>
        <v>85.4</v>
      </c>
      <c r="I89" s="5" t="s">
        <v>15</v>
      </c>
    </row>
    <row r="90" spans="1:9" ht="14.25">
      <c r="A90" s="4">
        <v>88</v>
      </c>
      <c r="B90" s="2" t="s">
        <v>14</v>
      </c>
      <c r="C90" s="2" t="str">
        <f>"何龙飞"</f>
        <v>何龙飞</v>
      </c>
      <c r="D90" s="2" t="str">
        <f>"女"</f>
        <v>女</v>
      </c>
      <c r="E90" s="2" t="str">
        <f>"202209041408"</f>
        <v>202209041408</v>
      </c>
      <c r="F90" s="4">
        <v>68.4</v>
      </c>
      <c r="G90" s="4">
        <v>96</v>
      </c>
      <c r="H90" s="4">
        <f t="shared" si="9"/>
        <v>84.96</v>
      </c>
      <c r="I90" s="5" t="s">
        <v>15</v>
      </c>
    </row>
    <row r="91" spans="1:9" ht="14.25">
      <c r="A91" s="4">
        <v>89</v>
      </c>
      <c r="B91" s="2" t="s">
        <v>14</v>
      </c>
      <c r="C91" s="2" t="str">
        <f>"亓艳萍"</f>
        <v>亓艳萍</v>
      </c>
      <c r="D91" s="2" t="str">
        <f>"女"</f>
        <v>女</v>
      </c>
      <c r="E91" s="2" t="str">
        <f>"202209041427"</f>
        <v>202209041427</v>
      </c>
      <c r="F91" s="4">
        <v>76.1</v>
      </c>
      <c r="G91" s="4">
        <v>90</v>
      </c>
      <c r="H91" s="4">
        <f t="shared" si="9"/>
        <v>84.44</v>
      </c>
      <c r="I91" s="5" t="s">
        <v>15</v>
      </c>
    </row>
    <row r="92" spans="1:9" ht="14.25">
      <c r="A92" s="4">
        <v>90</v>
      </c>
      <c r="B92" s="2" t="s">
        <v>14</v>
      </c>
      <c r="C92" s="2" t="str">
        <f>"陶林"</f>
        <v>陶林</v>
      </c>
      <c r="D92" s="2" t="str">
        <f>"男"</f>
        <v>男</v>
      </c>
      <c r="E92" s="2" t="str">
        <f>"202209041411"</f>
        <v>202209041411</v>
      </c>
      <c r="F92" s="4">
        <v>81.4</v>
      </c>
      <c r="G92" s="4">
        <v>86</v>
      </c>
      <c r="H92" s="4">
        <f t="shared" si="9"/>
        <v>84.16</v>
      </c>
      <c r="I92" s="5" t="s">
        <v>15</v>
      </c>
    </row>
    <row r="93" spans="1:9" ht="14.25">
      <c r="A93" s="4">
        <v>91</v>
      </c>
      <c r="B93" s="2" t="s">
        <v>14</v>
      </c>
      <c r="C93" s="2" t="str">
        <f>"宋南南"</f>
        <v>宋南南</v>
      </c>
      <c r="D93" s="2" t="str">
        <f>"女"</f>
        <v>女</v>
      </c>
      <c r="E93" s="2" t="str">
        <f>"202209041515"</f>
        <v>202209041515</v>
      </c>
      <c r="F93" s="4">
        <v>73.5</v>
      </c>
      <c r="G93" s="4">
        <v>90</v>
      </c>
      <c r="H93" s="4">
        <f t="shared" si="9"/>
        <v>83.4</v>
      </c>
      <c r="I93" s="5" t="s">
        <v>15</v>
      </c>
    </row>
    <row r="94" spans="1:9" ht="14.25">
      <c r="A94" s="4">
        <v>92</v>
      </c>
      <c r="B94" s="2" t="s">
        <v>14</v>
      </c>
      <c r="C94" s="2" t="str">
        <f>"乔墩"</f>
        <v>乔墩</v>
      </c>
      <c r="D94" s="2" t="str">
        <f>"男"</f>
        <v>男</v>
      </c>
      <c r="E94" s="2" t="str">
        <f>"202209041225"</f>
        <v>202209041225</v>
      </c>
      <c r="F94" s="4">
        <v>75</v>
      </c>
      <c r="G94" s="4">
        <v>89</v>
      </c>
      <c r="H94" s="4">
        <f t="shared" si="9"/>
        <v>83.4</v>
      </c>
      <c r="I94" s="5" t="s">
        <v>15</v>
      </c>
    </row>
    <row r="95" spans="1:9" ht="14.25">
      <c r="A95" s="4">
        <v>93</v>
      </c>
      <c r="B95" s="2" t="s">
        <v>14</v>
      </c>
      <c r="C95" s="2" t="str">
        <f>"王亚洲"</f>
        <v>王亚洲</v>
      </c>
      <c r="D95" s="2" t="str">
        <f>"男"</f>
        <v>男</v>
      </c>
      <c r="E95" s="2" t="str">
        <f>"202209041212"</f>
        <v>202209041212</v>
      </c>
      <c r="F95" s="4">
        <v>72.60000000000001</v>
      </c>
      <c r="G95" s="4">
        <v>89</v>
      </c>
      <c r="H95" s="4">
        <f t="shared" si="9"/>
        <v>82.44</v>
      </c>
      <c r="I95" s="5" t="s">
        <v>15</v>
      </c>
    </row>
    <row r="96" spans="1:9" ht="14.25">
      <c r="A96" s="4">
        <v>94</v>
      </c>
      <c r="B96" s="2" t="s">
        <v>14</v>
      </c>
      <c r="C96" s="2" t="str">
        <f>"刘依萍"</f>
        <v>刘依萍</v>
      </c>
      <c r="D96" s="2" t="str">
        <f>"女"</f>
        <v>女</v>
      </c>
      <c r="E96" s="2" t="str">
        <f>"202209041223"</f>
        <v>202209041223</v>
      </c>
      <c r="F96" s="4">
        <v>72.60000000000001</v>
      </c>
      <c r="G96" s="4">
        <v>89</v>
      </c>
      <c r="H96" s="4">
        <f t="shared" si="9"/>
        <v>82.44</v>
      </c>
      <c r="I96" s="5" t="s">
        <v>15</v>
      </c>
    </row>
    <row r="97" spans="1:9" ht="14.25">
      <c r="A97" s="4">
        <v>95</v>
      </c>
      <c r="B97" s="2" t="s">
        <v>14</v>
      </c>
      <c r="C97" s="2" t="str">
        <f>"叶家亮"</f>
        <v>叶家亮</v>
      </c>
      <c r="D97" s="2" t="str">
        <f>"男"</f>
        <v>男</v>
      </c>
      <c r="E97" s="2" t="str">
        <f>"202209041502"</f>
        <v>202209041502</v>
      </c>
      <c r="F97" s="4">
        <v>67.9</v>
      </c>
      <c r="G97" s="4">
        <v>92</v>
      </c>
      <c r="H97" s="4">
        <f t="shared" si="9"/>
        <v>82.36</v>
      </c>
      <c r="I97" s="5" t="s">
        <v>15</v>
      </c>
    </row>
    <row r="98" spans="1:9" ht="14.25">
      <c r="A98" s="4">
        <v>96</v>
      </c>
      <c r="B98" s="2" t="s">
        <v>14</v>
      </c>
      <c r="C98" s="2" t="str">
        <f>"左卓越"</f>
        <v>左卓越</v>
      </c>
      <c r="D98" s="2" t="str">
        <f>"男"</f>
        <v>男</v>
      </c>
      <c r="E98" s="2" t="str">
        <f>"202209041406"</f>
        <v>202209041406</v>
      </c>
      <c r="F98" s="4">
        <v>74.7</v>
      </c>
      <c r="G98" s="4">
        <v>85</v>
      </c>
      <c r="H98" s="4">
        <f t="shared" si="9"/>
        <v>80.88</v>
      </c>
      <c r="I98" s="5" t="s">
        <v>15</v>
      </c>
    </row>
    <row r="99" spans="1:9" ht="14.25">
      <c r="A99" s="4">
        <v>97</v>
      </c>
      <c r="B99" s="2" t="s">
        <v>14</v>
      </c>
      <c r="C99" s="2" t="str">
        <f>"聂桂梦"</f>
        <v>聂桂梦</v>
      </c>
      <c r="D99" s="2" t="str">
        <f>"女"</f>
        <v>女</v>
      </c>
      <c r="E99" s="2" t="str">
        <f>"202209041510"</f>
        <v>202209041510</v>
      </c>
      <c r="F99" s="4">
        <v>66.1</v>
      </c>
      <c r="G99" s="4">
        <v>89</v>
      </c>
      <c r="H99" s="4">
        <f t="shared" si="9"/>
        <v>79.84</v>
      </c>
      <c r="I99" s="5" t="s">
        <v>15</v>
      </c>
    </row>
    <row r="100" spans="1:9" ht="14.25">
      <c r="A100" s="4">
        <v>98</v>
      </c>
      <c r="B100" s="2" t="s">
        <v>14</v>
      </c>
      <c r="C100" s="2" t="str">
        <f>"沈建锋"</f>
        <v>沈建锋</v>
      </c>
      <c r="D100" s="2" t="str">
        <f>"男"</f>
        <v>男</v>
      </c>
      <c r="E100" s="2" t="str">
        <f>"202209041319"</f>
        <v>202209041319</v>
      </c>
      <c r="F100" s="4">
        <v>76.4</v>
      </c>
      <c r="G100" s="4">
        <v>82</v>
      </c>
      <c r="H100" s="4">
        <f t="shared" si="9"/>
        <v>79.75999999999999</v>
      </c>
      <c r="I100" s="5" t="s">
        <v>15</v>
      </c>
    </row>
    <row r="101" spans="1:9" ht="14.25">
      <c r="A101" s="4">
        <v>99</v>
      </c>
      <c r="B101" s="2" t="s">
        <v>14</v>
      </c>
      <c r="C101" s="2" t="str">
        <f>"杨亚平"</f>
        <v>杨亚平</v>
      </c>
      <c r="D101" s="2" t="str">
        <f aca="true" t="shared" si="10" ref="D101:D108">"女"</f>
        <v>女</v>
      </c>
      <c r="E101" s="2" t="str">
        <f>"202209041428"</f>
        <v>202209041428</v>
      </c>
      <c r="F101" s="4">
        <v>76.60000000000001</v>
      </c>
      <c r="G101" s="4">
        <v>81</v>
      </c>
      <c r="H101" s="4">
        <f t="shared" si="9"/>
        <v>79.24000000000001</v>
      </c>
      <c r="I101" s="5" t="s">
        <v>15</v>
      </c>
    </row>
    <row r="102" spans="1:9" ht="14.25">
      <c r="A102" s="4">
        <v>100</v>
      </c>
      <c r="B102" s="2" t="s">
        <v>14</v>
      </c>
      <c r="C102" s="2" t="str">
        <f>"王书雅"</f>
        <v>王书雅</v>
      </c>
      <c r="D102" s="2" t="str">
        <f t="shared" si="10"/>
        <v>女</v>
      </c>
      <c r="E102" s="2" t="str">
        <f>"202209041215"</f>
        <v>202209041215</v>
      </c>
      <c r="F102" s="4">
        <v>65.80000000000001</v>
      </c>
      <c r="G102" s="4">
        <v>88</v>
      </c>
      <c r="H102" s="4">
        <f t="shared" si="9"/>
        <v>79.12</v>
      </c>
      <c r="I102" s="5" t="s">
        <v>15</v>
      </c>
    </row>
    <row r="103" spans="1:9" ht="14.25">
      <c r="A103" s="4">
        <v>101</v>
      </c>
      <c r="B103" s="2" t="s">
        <v>14</v>
      </c>
      <c r="C103" s="2" t="str">
        <f>"王萍"</f>
        <v>王萍</v>
      </c>
      <c r="D103" s="2" t="str">
        <f t="shared" si="10"/>
        <v>女</v>
      </c>
      <c r="E103" s="2" t="str">
        <f>"202209041417"</f>
        <v>202209041417</v>
      </c>
      <c r="F103" s="4">
        <v>76</v>
      </c>
      <c r="G103" s="4">
        <v>81</v>
      </c>
      <c r="H103" s="4">
        <f t="shared" si="9"/>
        <v>79</v>
      </c>
      <c r="I103" s="5" t="s">
        <v>15</v>
      </c>
    </row>
    <row r="104" spans="1:9" ht="14.25">
      <c r="A104" s="4">
        <v>102</v>
      </c>
      <c r="B104" s="2" t="s">
        <v>14</v>
      </c>
      <c r="C104" s="2" t="str">
        <f>"屈海艳"</f>
        <v>屈海艳</v>
      </c>
      <c r="D104" s="2" t="str">
        <f t="shared" si="10"/>
        <v>女</v>
      </c>
      <c r="E104" s="2" t="str">
        <f>"202209041201"</f>
        <v>202209041201</v>
      </c>
      <c r="F104" s="4">
        <v>75</v>
      </c>
      <c r="G104" s="4">
        <v>81</v>
      </c>
      <c r="H104" s="4">
        <f t="shared" si="9"/>
        <v>78.6</v>
      </c>
      <c r="I104" s="5" t="s">
        <v>15</v>
      </c>
    </row>
    <row r="105" spans="1:9" ht="14.25">
      <c r="A105" s="4">
        <v>103</v>
      </c>
      <c r="B105" s="2" t="s">
        <v>14</v>
      </c>
      <c r="C105" s="2" t="str">
        <f>"周慧慧"</f>
        <v>周慧慧</v>
      </c>
      <c r="D105" s="2" t="str">
        <f t="shared" si="10"/>
        <v>女</v>
      </c>
      <c r="E105" s="2" t="str">
        <f>"202209041211"</f>
        <v>202209041211</v>
      </c>
      <c r="F105" s="4">
        <v>71.7</v>
      </c>
      <c r="G105" s="4">
        <v>83</v>
      </c>
      <c r="H105" s="4">
        <f t="shared" si="9"/>
        <v>78.48</v>
      </c>
      <c r="I105" s="5" t="s">
        <v>15</v>
      </c>
    </row>
    <row r="106" spans="1:9" ht="14.25">
      <c r="A106" s="4">
        <v>104</v>
      </c>
      <c r="B106" s="2" t="s">
        <v>14</v>
      </c>
      <c r="C106" s="2" t="str">
        <f>"吕梦雅"</f>
        <v>吕梦雅</v>
      </c>
      <c r="D106" s="2" t="str">
        <f t="shared" si="10"/>
        <v>女</v>
      </c>
      <c r="E106" s="2" t="str">
        <f>"202209041413"</f>
        <v>202209041413</v>
      </c>
      <c r="F106" s="4">
        <v>64.9</v>
      </c>
      <c r="G106" s="4">
        <v>87</v>
      </c>
      <c r="H106" s="4">
        <f t="shared" si="9"/>
        <v>78.16</v>
      </c>
      <c r="I106" s="5" t="s">
        <v>15</v>
      </c>
    </row>
    <row r="107" spans="1:9" ht="14.25">
      <c r="A107" s="4">
        <v>105</v>
      </c>
      <c r="B107" s="2" t="s">
        <v>16</v>
      </c>
      <c r="C107" s="2" t="str">
        <f>"王翠翠"</f>
        <v>王翠翠</v>
      </c>
      <c r="D107" s="2" t="str">
        <f t="shared" si="10"/>
        <v>女</v>
      </c>
      <c r="E107" s="2" t="str">
        <f>"202209041903"</f>
        <v>202209041903</v>
      </c>
      <c r="F107" s="4">
        <v>81.80000000000001</v>
      </c>
      <c r="G107" s="4">
        <v>98</v>
      </c>
      <c r="H107" s="4">
        <f aca="true" t="shared" si="11" ref="H107:H136">G107*0.6+F107*0.4</f>
        <v>91.52000000000001</v>
      </c>
      <c r="I107" s="5" t="s">
        <v>15</v>
      </c>
    </row>
    <row r="108" spans="1:9" ht="14.25">
      <c r="A108" s="4">
        <v>106</v>
      </c>
      <c r="B108" s="2" t="s">
        <v>16</v>
      </c>
      <c r="C108" s="2" t="str">
        <f>"吴玉"</f>
        <v>吴玉</v>
      </c>
      <c r="D108" s="2" t="str">
        <f t="shared" si="10"/>
        <v>女</v>
      </c>
      <c r="E108" s="2" t="str">
        <f>"202209041622"</f>
        <v>202209041622</v>
      </c>
      <c r="F108" s="4">
        <v>83.9</v>
      </c>
      <c r="G108" s="4">
        <v>90</v>
      </c>
      <c r="H108" s="4">
        <f t="shared" si="11"/>
        <v>87.56</v>
      </c>
      <c r="I108" s="5" t="s">
        <v>15</v>
      </c>
    </row>
    <row r="109" spans="1:9" ht="14.25">
      <c r="A109" s="4">
        <v>107</v>
      </c>
      <c r="B109" s="2" t="s">
        <v>16</v>
      </c>
      <c r="C109" s="2" t="str">
        <f>"王威"</f>
        <v>王威</v>
      </c>
      <c r="D109" s="2" t="str">
        <f>"男"</f>
        <v>男</v>
      </c>
      <c r="E109" s="2" t="str">
        <f>"202209041919"</f>
        <v>202209041919</v>
      </c>
      <c r="F109" s="4">
        <v>68.80000000000001</v>
      </c>
      <c r="G109" s="4">
        <v>100</v>
      </c>
      <c r="H109" s="4">
        <f t="shared" si="11"/>
        <v>87.52000000000001</v>
      </c>
      <c r="I109" s="5" t="s">
        <v>15</v>
      </c>
    </row>
    <row r="110" spans="1:9" ht="14.25">
      <c r="A110" s="4">
        <v>108</v>
      </c>
      <c r="B110" s="2" t="s">
        <v>16</v>
      </c>
      <c r="C110" s="2" t="str">
        <f>"黄丽娟"</f>
        <v>黄丽娟</v>
      </c>
      <c r="D110" s="2" t="str">
        <f>"女"</f>
        <v>女</v>
      </c>
      <c r="E110" s="2" t="str">
        <f>"202209041625"</f>
        <v>202209041625</v>
      </c>
      <c r="F110" s="4">
        <v>78.2</v>
      </c>
      <c r="G110" s="4">
        <v>92</v>
      </c>
      <c r="H110" s="4">
        <f t="shared" si="11"/>
        <v>86.47999999999999</v>
      </c>
      <c r="I110" s="5" t="s">
        <v>15</v>
      </c>
    </row>
    <row r="111" spans="1:9" ht="14.25">
      <c r="A111" s="4">
        <v>109</v>
      </c>
      <c r="B111" s="2" t="s">
        <v>16</v>
      </c>
      <c r="C111" s="2" t="str">
        <f>"何晓冉"</f>
        <v>何晓冉</v>
      </c>
      <c r="D111" s="2" t="str">
        <f>"女"</f>
        <v>女</v>
      </c>
      <c r="E111" s="2" t="str">
        <f>"202209041602"</f>
        <v>202209041602</v>
      </c>
      <c r="F111" s="4">
        <v>76</v>
      </c>
      <c r="G111" s="4">
        <v>91</v>
      </c>
      <c r="H111" s="4">
        <f t="shared" si="11"/>
        <v>85</v>
      </c>
      <c r="I111" s="5" t="s">
        <v>15</v>
      </c>
    </row>
    <row r="112" spans="1:9" ht="14.25">
      <c r="A112" s="4">
        <v>110</v>
      </c>
      <c r="B112" s="2" t="s">
        <v>16</v>
      </c>
      <c r="C112" s="2" t="str">
        <f>"冯杨静"</f>
        <v>冯杨静</v>
      </c>
      <c r="D112" s="2" t="str">
        <f>"女"</f>
        <v>女</v>
      </c>
      <c r="E112" s="2" t="str">
        <f>"202209041913"</f>
        <v>202209041913</v>
      </c>
      <c r="F112" s="4">
        <v>65.4</v>
      </c>
      <c r="G112" s="4">
        <v>97</v>
      </c>
      <c r="H112" s="4">
        <f t="shared" si="11"/>
        <v>84.36</v>
      </c>
      <c r="I112" s="5" t="s">
        <v>15</v>
      </c>
    </row>
    <row r="113" spans="1:9" ht="14.25">
      <c r="A113" s="4">
        <v>111</v>
      </c>
      <c r="B113" s="2" t="s">
        <v>16</v>
      </c>
      <c r="C113" s="2" t="str">
        <f>"马婷婷"</f>
        <v>马婷婷</v>
      </c>
      <c r="D113" s="2" t="str">
        <f>"女"</f>
        <v>女</v>
      </c>
      <c r="E113" s="2" t="str">
        <f>"202209041518"</f>
        <v>202209041518</v>
      </c>
      <c r="F113" s="4">
        <v>73.7</v>
      </c>
      <c r="G113" s="4">
        <v>91</v>
      </c>
      <c r="H113" s="4">
        <f t="shared" si="11"/>
        <v>84.08000000000001</v>
      </c>
      <c r="I113" s="5" t="s">
        <v>15</v>
      </c>
    </row>
    <row r="114" spans="1:9" ht="14.25">
      <c r="A114" s="4">
        <v>112</v>
      </c>
      <c r="B114" s="2" t="s">
        <v>16</v>
      </c>
      <c r="C114" s="2" t="str">
        <f>"袁文波"</f>
        <v>袁文波</v>
      </c>
      <c r="D114" s="2" t="str">
        <f>"男"</f>
        <v>男</v>
      </c>
      <c r="E114" s="2" t="str">
        <f>"202209041519"</f>
        <v>202209041519</v>
      </c>
      <c r="F114" s="4">
        <v>76.30000000000001</v>
      </c>
      <c r="G114" s="4">
        <v>89</v>
      </c>
      <c r="H114" s="4">
        <f t="shared" si="11"/>
        <v>83.92</v>
      </c>
      <c r="I114" s="5" t="s">
        <v>15</v>
      </c>
    </row>
    <row r="115" spans="1:9" ht="14.25">
      <c r="A115" s="4">
        <v>113</v>
      </c>
      <c r="B115" s="2" t="s">
        <v>16</v>
      </c>
      <c r="C115" s="2" t="str">
        <f>"张宇萌"</f>
        <v>张宇萌</v>
      </c>
      <c r="D115" s="2" t="str">
        <f>"女"</f>
        <v>女</v>
      </c>
      <c r="E115" s="2" t="str">
        <f>"202209041909"</f>
        <v>202209041909</v>
      </c>
      <c r="F115" s="4">
        <v>70.30000000000001</v>
      </c>
      <c r="G115" s="4">
        <v>91</v>
      </c>
      <c r="H115" s="4">
        <f t="shared" si="11"/>
        <v>82.72</v>
      </c>
      <c r="I115" s="5" t="s">
        <v>15</v>
      </c>
    </row>
    <row r="116" spans="1:9" ht="14.25">
      <c r="A116" s="4">
        <v>114</v>
      </c>
      <c r="B116" s="2" t="s">
        <v>16</v>
      </c>
      <c r="C116" s="2" t="str">
        <f>"王阵"</f>
        <v>王阵</v>
      </c>
      <c r="D116" s="2" t="str">
        <f>"男"</f>
        <v>男</v>
      </c>
      <c r="E116" s="2" t="str">
        <f>"202209041814"</f>
        <v>202209041814</v>
      </c>
      <c r="F116" s="4">
        <v>77.1</v>
      </c>
      <c r="G116" s="4">
        <v>85</v>
      </c>
      <c r="H116" s="4">
        <f t="shared" si="11"/>
        <v>81.84</v>
      </c>
      <c r="I116" s="5" t="s">
        <v>15</v>
      </c>
    </row>
    <row r="117" spans="1:9" ht="14.25">
      <c r="A117" s="4">
        <v>115</v>
      </c>
      <c r="B117" s="2" t="s">
        <v>16</v>
      </c>
      <c r="C117" s="2" t="str">
        <f>"王开瑞"</f>
        <v>王开瑞</v>
      </c>
      <c r="D117" s="2" t="str">
        <f>"男"</f>
        <v>男</v>
      </c>
      <c r="E117" s="2" t="str">
        <f>"202209041918"</f>
        <v>202209041918</v>
      </c>
      <c r="F117" s="4">
        <v>75.5</v>
      </c>
      <c r="G117" s="4">
        <v>86</v>
      </c>
      <c r="H117" s="4">
        <f t="shared" si="11"/>
        <v>81.80000000000001</v>
      </c>
      <c r="I117" s="5" t="s">
        <v>15</v>
      </c>
    </row>
    <row r="118" spans="1:9" ht="14.25">
      <c r="A118" s="4">
        <v>116</v>
      </c>
      <c r="B118" s="2" t="s">
        <v>16</v>
      </c>
      <c r="C118" s="2" t="str">
        <f>"彭艳艳"</f>
        <v>彭艳艳</v>
      </c>
      <c r="D118" s="2" t="str">
        <f>"女"</f>
        <v>女</v>
      </c>
      <c r="E118" s="2" t="str">
        <f>"202209041810"</f>
        <v>202209041810</v>
      </c>
      <c r="F118" s="4">
        <v>72</v>
      </c>
      <c r="G118" s="4">
        <v>88</v>
      </c>
      <c r="H118" s="4">
        <f t="shared" si="11"/>
        <v>81.6</v>
      </c>
      <c r="I118" s="5" t="s">
        <v>15</v>
      </c>
    </row>
    <row r="119" spans="1:9" ht="14.25">
      <c r="A119" s="4">
        <v>117</v>
      </c>
      <c r="B119" s="2" t="s">
        <v>16</v>
      </c>
      <c r="C119" s="2" t="str">
        <f>"李慧慧"</f>
        <v>李慧慧</v>
      </c>
      <c r="D119" s="2" t="str">
        <f>"女"</f>
        <v>女</v>
      </c>
      <c r="E119" s="2" t="str">
        <f>"202209041603"</f>
        <v>202209041603</v>
      </c>
      <c r="F119" s="4">
        <v>77.9</v>
      </c>
      <c r="G119" s="4">
        <v>84</v>
      </c>
      <c r="H119" s="4">
        <f t="shared" si="11"/>
        <v>81.56</v>
      </c>
      <c r="I119" s="5" t="s">
        <v>15</v>
      </c>
    </row>
    <row r="120" spans="1:9" ht="14.25">
      <c r="A120" s="4">
        <v>118</v>
      </c>
      <c r="B120" s="2" t="s">
        <v>16</v>
      </c>
      <c r="C120" s="2" t="str">
        <f>"贺家伍"</f>
        <v>贺家伍</v>
      </c>
      <c r="D120" s="2" t="str">
        <f>"男"</f>
        <v>男</v>
      </c>
      <c r="E120" s="2" t="str">
        <f>"202209041613"</f>
        <v>202209041613</v>
      </c>
      <c r="F120" s="4">
        <v>73.2</v>
      </c>
      <c r="G120" s="4">
        <v>87</v>
      </c>
      <c r="H120" s="4">
        <f t="shared" si="11"/>
        <v>81.47999999999999</v>
      </c>
      <c r="I120" s="5" t="s">
        <v>15</v>
      </c>
    </row>
    <row r="121" spans="1:9" ht="14.25">
      <c r="A121" s="4">
        <v>119</v>
      </c>
      <c r="B121" s="2" t="s">
        <v>16</v>
      </c>
      <c r="C121" s="2" t="str">
        <f>"白拥建"</f>
        <v>白拥建</v>
      </c>
      <c r="D121" s="2" t="str">
        <f>"男"</f>
        <v>男</v>
      </c>
      <c r="E121" s="2" t="str">
        <f>"202209041527"</f>
        <v>202209041527</v>
      </c>
      <c r="F121" s="4">
        <v>75.7</v>
      </c>
      <c r="G121" s="4">
        <v>85</v>
      </c>
      <c r="H121" s="4">
        <f t="shared" si="11"/>
        <v>81.28</v>
      </c>
      <c r="I121" s="5" t="s">
        <v>15</v>
      </c>
    </row>
    <row r="122" spans="1:9" ht="14.25">
      <c r="A122" s="4">
        <v>120</v>
      </c>
      <c r="B122" s="2" t="s">
        <v>16</v>
      </c>
      <c r="C122" s="2" t="str">
        <f>"陈建强"</f>
        <v>陈建强</v>
      </c>
      <c r="D122" s="2" t="str">
        <f>"男"</f>
        <v>男</v>
      </c>
      <c r="E122" s="2" t="str">
        <f>"202209041611"</f>
        <v>202209041611</v>
      </c>
      <c r="F122" s="4">
        <v>72.30000000000001</v>
      </c>
      <c r="G122" s="4">
        <v>87</v>
      </c>
      <c r="H122" s="4">
        <f t="shared" si="11"/>
        <v>81.12</v>
      </c>
      <c r="I122" s="5" t="s">
        <v>15</v>
      </c>
    </row>
    <row r="123" spans="1:9" ht="14.25">
      <c r="A123" s="4">
        <v>121</v>
      </c>
      <c r="B123" s="2" t="s">
        <v>16</v>
      </c>
      <c r="C123" s="2" t="str">
        <f>"潘一林"</f>
        <v>潘一林</v>
      </c>
      <c r="D123" s="2" t="str">
        <f>"男"</f>
        <v>男</v>
      </c>
      <c r="E123" s="2" t="str">
        <f>"202209041526"</f>
        <v>202209041526</v>
      </c>
      <c r="F123" s="4">
        <v>78.2</v>
      </c>
      <c r="G123" s="4">
        <v>82</v>
      </c>
      <c r="H123" s="4">
        <f t="shared" si="11"/>
        <v>80.47999999999999</v>
      </c>
      <c r="I123" s="5" t="s">
        <v>15</v>
      </c>
    </row>
    <row r="124" spans="1:9" ht="14.25">
      <c r="A124" s="4">
        <v>122</v>
      </c>
      <c r="B124" s="2" t="s">
        <v>16</v>
      </c>
      <c r="C124" s="2" t="str">
        <f>"周茹雨"</f>
        <v>周茹雨</v>
      </c>
      <c r="D124" s="2" t="str">
        <f>"女"</f>
        <v>女</v>
      </c>
      <c r="E124" s="2" t="str">
        <f>"202209041829"</f>
        <v>202209041829</v>
      </c>
      <c r="F124" s="4">
        <v>71.60000000000001</v>
      </c>
      <c r="G124" s="4">
        <v>85</v>
      </c>
      <c r="H124" s="4">
        <f t="shared" si="11"/>
        <v>79.64</v>
      </c>
      <c r="I124" s="5" t="s">
        <v>15</v>
      </c>
    </row>
    <row r="125" spans="1:9" ht="14.25">
      <c r="A125" s="4">
        <v>123</v>
      </c>
      <c r="B125" s="2" t="s">
        <v>16</v>
      </c>
      <c r="C125" s="2" t="str">
        <f>"朱树园"</f>
        <v>朱树园</v>
      </c>
      <c r="D125" s="2" t="str">
        <f>"男"</f>
        <v>男</v>
      </c>
      <c r="E125" s="2" t="str">
        <f>"202209041808"</f>
        <v>202209041808</v>
      </c>
      <c r="F125" s="4">
        <v>74.10000000000001</v>
      </c>
      <c r="G125" s="4">
        <v>83</v>
      </c>
      <c r="H125" s="4">
        <f t="shared" si="11"/>
        <v>79.44</v>
      </c>
      <c r="I125" s="5" t="s">
        <v>15</v>
      </c>
    </row>
    <row r="126" spans="1:9" ht="14.25">
      <c r="A126" s="4">
        <v>124</v>
      </c>
      <c r="B126" s="2" t="s">
        <v>16</v>
      </c>
      <c r="C126" s="2" t="str">
        <f>"郭利君"</f>
        <v>郭利君</v>
      </c>
      <c r="D126" s="2" t="str">
        <f>"女"</f>
        <v>女</v>
      </c>
      <c r="E126" s="2" t="str">
        <f>"202209041723"</f>
        <v>202209041723</v>
      </c>
      <c r="F126" s="4">
        <v>79.7</v>
      </c>
      <c r="G126" s="4">
        <v>79</v>
      </c>
      <c r="H126" s="4">
        <f t="shared" si="11"/>
        <v>79.28</v>
      </c>
      <c r="I126" s="5" t="s">
        <v>15</v>
      </c>
    </row>
    <row r="127" spans="1:9" ht="14.25">
      <c r="A127" s="4">
        <v>125</v>
      </c>
      <c r="B127" s="2" t="s">
        <v>16</v>
      </c>
      <c r="C127" s="2" t="str">
        <f>"赵丽萍"</f>
        <v>赵丽萍</v>
      </c>
      <c r="D127" s="2" t="str">
        <f>"女"</f>
        <v>女</v>
      </c>
      <c r="E127" s="2" t="str">
        <f>"202209041805"</f>
        <v>202209041805</v>
      </c>
      <c r="F127" s="4">
        <v>68.7</v>
      </c>
      <c r="G127" s="4">
        <v>86</v>
      </c>
      <c r="H127" s="4">
        <f t="shared" si="11"/>
        <v>79.08000000000001</v>
      </c>
      <c r="I127" s="5" t="s">
        <v>15</v>
      </c>
    </row>
    <row r="128" spans="1:9" ht="14.25">
      <c r="A128" s="4">
        <v>126</v>
      </c>
      <c r="B128" s="2" t="s">
        <v>16</v>
      </c>
      <c r="C128" s="2" t="str">
        <f>"卢学龙"</f>
        <v>卢学龙</v>
      </c>
      <c r="D128" s="2" t="str">
        <f>"男"</f>
        <v>男</v>
      </c>
      <c r="E128" s="2" t="str">
        <f>"202209041715"</f>
        <v>202209041715</v>
      </c>
      <c r="F128" s="4">
        <v>75.80000000000001</v>
      </c>
      <c r="G128" s="4">
        <v>81</v>
      </c>
      <c r="H128" s="4">
        <f t="shared" si="11"/>
        <v>78.92000000000002</v>
      </c>
      <c r="I128" s="5" t="s">
        <v>15</v>
      </c>
    </row>
    <row r="129" spans="1:9" ht="14.25">
      <c r="A129" s="4">
        <v>127</v>
      </c>
      <c r="B129" s="2" t="s">
        <v>16</v>
      </c>
      <c r="C129" s="2" t="str">
        <f>"汪坤"</f>
        <v>汪坤</v>
      </c>
      <c r="D129" s="2" t="str">
        <f>"女"</f>
        <v>女</v>
      </c>
      <c r="E129" s="2" t="str">
        <f>"202209041629"</f>
        <v>202209041629</v>
      </c>
      <c r="F129" s="4">
        <v>77.3</v>
      </c>
      <c r="G129" s="4">
        <v>80</v>
      </c>
      <c r="H129" s="4">
        <f t="shared" si="11"/>
        <v>78.92</v>
      </c>
      <c r="I129" s="5" t="s">
        <v>15</v>
      </c>
    </row>
    <row r="130" spans="1:9" ht="14.25">
      <c r="A130" s="4">
        <v>128</v>
      </c>
      <c r="B130" s="2" t="s">
        <v>16</v>
      </c>
      <c r="C130" s="2" t="str">
        <f>"鲁雪"</f>
        <v>鲁雪</v>
      </c>
      <c r="D130" s="2" t="str">
        <f>"女"</f>
        <v>女</v>
      </c>
      <c r="E130" s="2" t="str">
        <f>"202209041920"</f>
        <v>202209041920</v>
      </c>
      <c r="F130" s="4">
        <v>67.9</v>
      </c>
      <c r="G130" s="4">
        <v>86</v>
      </c>
      <c r="H130" s="4">
        <f t="shared" si="11"/>
        <v>78.76</v>
      </c>
      <c r="I130" s="5" t="s">
        <v>15</v>
      </c>
    </row>
    <row r="131" spans="1:9" ht="14.25">
      <c r="A131" s="4">
        <v>129</v>
      </c>
      <c r="B131" s="2" t="s">
        <v>16</v>
      </c>
      <c r="C131" s="2" t="str">
        <f>"李琼琼"</f>
        <v>李琼琼</v>
      </c>
      <c r="D131" s="2" t="str">
        <f>"女"</f>
        <v>女</v>
      </c>
      <c r="E131" s="2" t="str">
        <f>"202209041815"</f>
        <v>202209041815</v>
      </c>
      <c r="F131" s="4">
        <v>72</v>
      </c>
      <c r="G131" s="4">
        <v>83</v>
      </c>
      <c r="H131" s="4">
        <f t="shared" si="11"/>
        <v>78.6</v>
      </c>
      <c r="I131" s="5" t="s">
        <v>15</v>
      </c>
    </row>
    <row r="132" spans="1:9" ht="14.25">
      <c r="A132" s="4">
        <v>130</v>
      </c>
      <c r="B132" s="2" t="s">
        <v>16</v>
      </c>
      <c r="C132" s="2" t="str">
        <f>"赵国豪"</f>
        <v>赵国豪</v>
      </c>
      <c r="D132" s="2" t="str">
        <f>"男"</f>
        <v>男</v>
      </c>
      <c r="E132" s="2" t="str">
        <f>"202209041828"</f>
        <v>202209041828</v>
      </c>
      <c r="F132" s="4">
        <v>75</v>
      </c>
      <c r="G132" s="4">
        <v>81</v>
      </c>
      <c r="H132" s="4">
        <f t="shared" si="11"/>
        <v>78.6</v>
      </c>
      <c r="I132" s="5" t="s">
        <v>15</v>
      </c>
    </row>
    <row r="133" spans="1:9" ht="14.25">
      <c r="A133" s="4">
        <v>131</v>
      </c>
      <c r="B133" s="2" t="s">
        <v>16</v>
      </c>
      <c r="C133" s="2" t="str">
        <f>"常学侠"</f>
        <v>常学侠</v>
      </c>
      <c r="D133" s="2" t="str">
        <f>"女"</f>
        <v>女</v>
      </c>
      <c r="E133" s="2" t="str">
        <f>"202209041905"</f>
        <v>202209041905</v>
      </c>
      <c r="F133" s="4">
        <v>65.80000000000001</v>
      </c>
      <c r="G133" s="4">
        <v>87</v>
      </c>
      <c r="H133" s="4">
        <f t="shared" si="11"/>
        <v>78.52000000000001</v>
      </c>
      <c r="I133" s="5" t="s">
        <v>15</v>
      </c>
    </row>
    <row r="134" spans="1:9" ht="14.25">
      <c r="A134" s="4">
        <v>132</v>
      </c>
      <c r="B134" s="2" t="s">
        <v>16</v>
      </c>
      <c r="C134" s="2" t="str">
        <f>"王艳"</f>
        <v>王艳</v>
      </c>
      <c r="D134" s="2" t="str">
        <f>"女"</f>
        <v>女</v>
      </c>
      <c r="E134" s="2" t="str">
        <f>"202209041824"</f>
        <v>202209041824</v>
      </c>
      <c r="F134" s="4">
        <v>67.30000000000001</v>
      </c>
      <c r="G134" s="4">
        <v>86</v>
      </c>
      <c r="H134" s="4">
        <f t="shared" si="11"/>
        <v>78.52000000000001</v>
      </c>
      <c r="I134" s="5" t="s">
        <v>15</v>
      </c>
    </row>
    <row r="135" spans="1:9" ht="14.25">
      <c r="A135" s="4">
        <v>133</v>
      </c>
      <c r="B135" s="2" t="s">
        <v>16</v>
      </c>
      <c r="C135" s="2" t="str">
        <f>"王齐"</f>
        <v>王齐</v>
      </c>
      <c r="D135" s="2" t="str">
        <f>"女"</f>
        <v>女</v>
      </c>
      <c r="E135" s="2" t="str">
        <f>"202209041705"</f>
        <v>202209041705</v>
      </c>
      <c r="F135" s="4">
        <v>66.80000000000001</v>
      </c>
      <c r="G135" s="4">
        <v>86</v>
      </c>
      <c r="H135" s="4">
        <f t="shared" si="11"/>
        <v>78.32000000000001</v>
      </c>
      <c r="I135" s="5" t="s">
        <v>15</v>
      </c>
    </row>
    <row r="136" spans="1:9" ht="14.25">
      <c r="A136" s="4">
        <v>134</v>
      </c>
      <c r="B136" s="2" t="s">
        <v>16</v>
      </c>
      <c r="C136" s="2" t="str">
        <f>"侯兴明"</f>
        <v>侯兴明</v>
      </c>
      <c r="D136" s="2" t="str">
        <f>"男"</f>
        <v>男</v>
      </c>
      <c r="E136" s="2" t="str">
        <f>"202209041621"</f>
        <v>202209041621</v>
      </c>
      <c r="F136" s="4">
        <v>77.10000000000001</v>
      </c>
      <c r="G136" s="4">
        <v>78</v>
      </c>
      <c r="H136" s="4">
        <f t="shared" si="11"/>
        <v>77.64</v>
      </c>
      <c r="I136" s="5" t="s">
        <v>15</v>
      </c>
    </row>
    <row r="137" spans="1:9" ht="14.25">
      <c r="A137" s="4">
        <v>135</v>
      </c>
      <c r="B137" s="2" t="s">
        <v>17</v>
      </c>
      <c r="C137" s="2" t="str">
        <f>"沈文慧"</f>
        <v>沈文慧</v>
      </c>
      <c r="D137" s="2" t="str">
        <f>"女"</f>
        <v>女</v>
      </c>
      <c r="E137" s="2" t="str">
        <f>"202209041927"</f>
        <v>202209041927</v>
      </c>
      <c r="F137" s="4">
        <v>77.10000000000001</v>
      </c>
      <c r="G137" s="4">
        <v>95</v>
      </c>
      <c r="H137" s="4">
        <f aca="true" t="shared" si="12" ref="H137:H162">G137*0.6+F137*0.4</f>
        <v>87.84</v>
      </c>
      <c r="I137" s="5" t="s">
        <v>15</v>
      </c>
    </row>
    <row r="138" spans="1:9" ht="14.25">
      <c r="A138" s="4">
        <v>136</v>
      </c>
      <c r="B138" s="2" t="s">
        <v>17</v>
      </c>
      <c r="C138" s="2" t="str">
        <f>"王迪"</f>
        <v>王迪</v>
      </c>
      <c r="D138" s="2" t="str">
        <f>"女"</f>
        <v>女</v>
      </c>
      <c r="E138" s="2" t="str">
        <f>"202209042003"</f>
        <v>202209042003</v>
      </c>
      <c r="F138" s="4">
        <v>77.80000000000001</v>
      </c>
      <c r="G138" s="4">
        <v>93</v>
      </c>
      <c r="H138" s="4">
        <f t="shared" si="12"/>
        <v>86.92</v>
      </c>
      <c r="I138" s="5" t="s">
        <v>15</v>
      </c>
    </row>
    <row r="139" spans="1:9" ht="14.25">
      <c r="A139" s="4">
        <v>137</v>
      </c>
      <c r="B139" s="2" t="s">
        <v>17</v>
      </c>
      <c r="C139" s="2" t="str">
        <f>"张沙"</f>
        <v>张沙</v>
      </c>
      <c r="D139" s="2" t="str">
        <f>"女"</f>
        <v>女</v>
      </c>
      <c r="E139" s="2" t="str">
        <f>"202209042121"</f>
        <v>202209042121</v>
      </c>
      <c r="F139" s="4">
        <v>80.6</v>
      </c>
      <c r="G139" s="4">
        <v>91</v>
      </c>
      <c r="H139" s="4">
        <f t="shared" si="12"/>
        <v>86.84</v>
      </c>
      <c r="I139" s="5" t="s">
        <v>15</v>
      </c>
    </row>
    <row r="140" spans="1:9" ht="14.25">
      <c r="A140" s="4">
        <v>138</v>
      </c>
      <c r="B140" s="2" t="s">
        <v>17</v>
      </c>
      <c r="C140" s="2" t="str">
        <f>"刘天赐"</f>
        <v>刘天赐</v>
      </c>
      <c r="D140" s="2" t="str">
        <f>"男"</f>
        <v>男</v>
      </c>
      <c r="E140" s="2" t="str">
        <f>"202209042214"</f>
        <v>202209042214</v>
      </c>
      <c r="F140" s="4">
        <v>69.80000000000001</v>
      </c>
      <c r="G140" s="4">
        <v>97</v>
      </c>
      <c r="H140" s="4">
        <f t="shared" si="12"/>
        <v>86.12</v>
      </c>
      <c r="I140" s="5" t="s">
        <v>15</v>
      </c>
    </row>
    <row r="141" spans="1:9" ht="14.25">
      <c r="A141" s="4">
        <v>139</v>
      </c>
      <c r="B141" s="2" t="s">
        <v>17</v>
      </c>
      <c r="C141" s="2" t="str">
        <f>"靳怀强"</f>
        <v>靳怀强</v>
      </c>
      <c r="D141" s="2" t="str">
        <f>"男"</f>
        <v>男</v>
      </c>
      <c r="E141" s="2" t="str">
        <f>"202209042224"</f>
        <v>202209042224</v>
      </c>
      <c r="F141" s="4">
        <v>78.7</v>
      </c>
      <c r="G141" s="4">
        <v>91</v>
      </c>
      <c r="H141" s="4">
        <f t="shared" si="12"/>
        <v>86.08000000000001</v>
      </c>
      <c r="I141" s="5" t="s">
        <v>15</v>
      </c>
    </row>
    <row r="142" spans="1:9" ht="14.25">
      <c r="A142" s="4">
        <v>140</v>
      </c>
      <c r="B142" s="2" t="s">
        <v>17</v>
      </c>
      <c r="C142" s="2" t="str">
        <f>"杨越"</f>
        <v>杨越</v>
      </c>
      <c r="D142" s="2" t="str">
        <f>"男"</f>
        <v>男</v>
      </c>
      <c r="E142" s="2" t="str">
        <f>"202209042030"</f>
        <v>202209042030</v>
      </c>
      <c r="F142" s="4">
        <v>75.4</v>
      </c>
      <c r="G142" s="4">
        <v>92</v>
      </c>
      <c r="H142" s="4">
        <f t="shared" si="12"/>
        <v>85.36</v>
      </c>
      <c r="I142" s="5" t="s">
        <v>15</v>
      </c>
    </row>
    <row r="143" spans="1:9" ht="14.25">
      <c r="A143" s="4">
        <v>141</v>
      </c>
      <c r="B143" s="2" t="s">
        <v>17</v>
      </c>
      <c r="C143" s="2" t="str">
        <f>"程怡"</f>
        <v>程怡</v>
      </c>
      <c r="D143" s="2" t="str">
        <f>"女"</f>
        <v>女</v>
      </c>
      <c r="E143" s="2" t="str">
        <f>"202209042221"</f>
        <v>202209042221</v>
      </c>
      <c r="F143" s="4">
        <v>72.80000000000001</v>
      </c>
      <c r="G143" s="4">
        <v>93</v>
      </c>
      <c r="H143" s="4">
        <f t="shared" si="12"/>
        <v>84.92</v>
      </c>
      <c r="I143" s="5" t="s">
        <v>15</v>
      </c>
    </row>
    <row r="144" spans="1:9" ht="14.25">
      <c r="A144" s="4">
        <v>142</v>
      </c>
      <c r="B144" s="2" t="s">
        <v>17</v>
      </c>
      <c r="C144" s="2" t="str">
        <f>"洪小巧"</f>
        <v>洪小巧</v>
      </c>
      <c r="D144" s="2" t="str">
        <f>"女"</f>
        <v>女</v>
      </c>
      <c r="E144" s="2" t="str">
        <f>"202209042217"</f>
        <v>202209042217</v>
      </c>
      <c r="F144" s="4">
        <v>77.6</v>
      </c>
      <c r="G144" s="4">
        <v>89</v>
      </c>
      <c r="H144" s="4">
        <f t="shared" si="12"/>
        <v>84.44</v>
      </c>
      <c r="I144" s="5" t="s">
        <v>15</v>
      </c>
    </row>
    <row r="145" spans="1:9" ht="14.25">
      <c r="A145" s="4">
        <v>143</v>
      </c>
      <c r="B145" s="2" t="s">
        <v>17</v>
      </c>
      <c r="C145" s="2" t="str">
        <f>"高凯歌"</f>
        <v>高凯歌</v>
      </c>
      <c r="D145" s="2" t="str">
        <f>"男"</f>
        <v>男</v>
      </c>
      <c r="E145" s="2" t="str">
        <f>"202209042105"</f>
        <v>202209042105</v>
      </c>
      <c r="F145" s="4">
        <v>78.30000000000001</v>
      </c>
      <c r="G145" s="4">
        <v>88</v>
      </c>
      <c r="H145" s="4">
        <f t="shared" si="12"/>
        <v>84.12</v>
      </c>
      <c r="I145" s="5" t="s">
        <v>15</v>
      </c>
    </row>
    <row r="146" spans="1:9" ht="14.25">
      <c r="A146" s="4">
        <v>144</v>
      </c>
      <c r="B146" s="2" t="s">
        <v>17</v>
      </c>
      <c r="C146" s="2" t="str">
        <f>"高影"</f>
        <v>高影</v>
      </c>
      <c r="D146" s="2" t="str">
        <f>"女"</f>
        <v>女</v>
      </c>
      <c r="E146" s="2" t="str">
        <f>"202209042002"</f>
        <v>202209042002</v>
      </c>
      <c r="F146" s="4">
        <v>82.4</v>
      </c>
      <c r="G146" s="4">
        <v>85</v>
      </c>
      <c r="H146" s="4">
        <f t="shared" si="12"/>
        <v>83.96000000000001</v>
      </c>
      <c r="I146" s="5" t="s">
        <v>15</v>
      </c>
    </row>
    <row r="147" spans="1:9" ht="14.25">
      <c r="A147" s="4">
        <v>145</v>
      </c>
      <c r="B147" s="2" t="s">
        <v>17</v>
      </c>
      <c r="C147" s="2" t="str">
        <f>"蒋媛媛"</f>
        <v>蒋媛媛</v>
      </c>
      <c r="D147" s="2" t="str">
        <f>"女"</f>
        <v>女</v>
      </c>
      <c r="E147" s="2" t="str">
        <f>"202209042025"</f>
        <v>202209042025</v>
      </c>
      <c r="F147" s="4">
        <v>76.9</v>
      </c>
      <c r="G147" s="4">
        <v>88</v>
      </c>
      <c r="H147" s="4">
        <f t="shared" si="12"/>
        <v>83.56</v>
      </c>
      <c r="I147" s="5" t="s">
        <v>15</v>
      </c>
    </row>
    <row r="148" spans="1:9" ht="14.25">
      <c r="A148" s="4">
        <v>146</v>
      </c>
      <c r="B148" s="2" t="s">
        <v>17</v>
      </c>
      <c r="C148" s="2" t="str">
        <f>"王洪涛"</f>
        <v>王洪涛</v>
      </c>
      <c r="D148" s="2" t="str">
        <f>"男"</f>
        <v>男</v>
      </c>
      <c r="E148" s="2" t="str">
        <f>"202209042207"</f>
        <v>202209042207</v>
      </c>
      <c r="F148" s="4">
        <v>76.4</v>
      </c>
      <c r="G148" s="4">
        <v>88</v>
      </c>
      <c r="H148" s="4">
        <f t="shared" si="12"/>
        <v>83.36</v>
      </c>
      <c r="I148" s="5" t="s">
        <v>15</v>
      </c>
    </row>
    <row r="149" spans="1:9" ht="14.25">
      <c r="A149" s="4">
        <v>147</v>
      </c>
      <c r="B149" s="2" t="s">
        <v>17</v>
      </c>
      <c r="C149" s="2" t="str">
        <f>"张腾腾"</f>
        <v>张腾腾</v>
      </c>
      <c r="D149" s="2" t="str">
        <f>"女"</f>
        <v>女</v>
      </c>
      <c r="E149" s="2" t="str">
        <f>"202209042218"</f>
        <v>202209042218</v>
      </c>
      <c r="F149" s="4">
        <v>73.10000000000001</v>
      </c>
      <c r="G149" s="4">
        <v>90</v>
      </c>
      <c r="H149" s="4">
        <f t="shared" si="12"/>
        <v>83.24000000000001</v>
      </c>
      <c r="I149" s="5" t="s">
        <v>15</v>
      </c>
    </row>
    <row r="150" spans="1:9" ht="14.25">
      <c r="A150" s="4">
        <v>148</v>
      </c>
      <c r="B150" s="2" t="s">
        <v>17</v>
      </c>
      <c r="C150" s="2" t="str">
        <f>"王文雪"</f>
        <v>王文雪</v>
      </c>
      <c r="D150" s="2" t="str">
        <f>"女"</f>
        <v>女</v>
      </c>
      <c r="E150" s="2" t="str">
        <f>"202209042013"</f>
        <v>202209042013</v>
      </c>
      <c r="F150" s="4">
        <v>77.2</v>
      </c>
      <c r="G150" s="4">
        <v>87</v>
      </c>
      <c r="H150" s="4">
        <f t="shared" si="12"/>
        <v>83.08</v>
      </c>
      <c r="I150" s="5" t="s">
        <v>15</v>
      </c>
    </row>
    <row r="151" spans="1:9" ht="14.25">
      <c r="A151" s="4">
        <v>149</v>
      </c>
      <c r="B151" s="2" t="s">
        <v>17</v>
      </c>
      <c r="C151" s="2" t="str">
        <f>"尹颍"</f>
        <v>尹颍</v>
      </c>
      <c r="D151" s="2" t="str">
        <f>"女"</f>
        <v>女</v>
      </c>
      <c r="E151" s="2" t="str">
        <f>"202209041923"</f>
        <v>202209041923</v>
      </c>
      <c r="F151" s="4">
        <v>70.10000000000001</v>
      </c>
      <c r="G151" s="4">
        <v>91</v>
      </c>
      <c r="H151" s="4">
        <f t="shared" si="12"/>
        <v>82.64000000000001</v>
      </c>
      <c r="I151" s="5" t="s">
        <v>15</v>
      </c>
    </row>
    <row r="152" spans="1:9" ht="14.25">
      <c r="A152" s="4">
        <v>150</v>
      </c>
      <c r="B152" s="2" t="s">
        <v>17</v>
      </c>
      <c r="C152" s="2" t="str">
        <f>"张坤"</f>
        <v>张坤</v>
      </c>
      <c r="D152" s="2" t="str">
        <f>"男"</f>
        <v>男</v>
      </c>
      <c r="E152" s="2" t="str">
        <f>"202209042018"</f>
        <v>202209042018</v>
      </c>
      <c r="F152" s="4">
        <v>68.1</v>
      </c>
      <c r="G152" s="4">
        <v>92</v>
      </c>
      <c r="H152" s="4">
        <f t="shared" si="12"/>
        <v>82.44</v>
      </c>
      <c r="I152" s="5" t="s">
        <v>15</v>
      </c>
    </row>
    <row r="153" spans="1:9" ht="14.25">
      <c r="A153" s="4">
        <v>151</v>
      </c>
      <c r="B153" s="2" t="s">
        <v>17</v>
      </c>
      <c r="C153" s="2" t="str">
        <f>"汪卢"</f>
        <v>汪卢</v>
      </c>
      <c r="D153" s="2" t="str">
        <f>"男"</f>
        <v>男</v>
      </c>
      <c r="E153" s="2" t="str">
        <f>"202209043030"</f>
        <v>202209043030</v>
      </c>
      <c r="F153" s="4">
        <v>69.4</v>
      </c>
      <c r="G153" s="4">
        <v>91</v>
      </c>
      <c r="H153" s="4">
        <f t="shared" si="12"/>
        <v>82.36000000000001</v>
      </c>
      <c r="I153" s="5" t="s">
        <v>15</v>
      </c>
    </row>
    <row r="154" spans="1:9" ht="14.25">
      <c r="A154" s="4">
        <v>152</v>
      </c>
      <c r="B154" s="2" t="s">
        <v>17</v>
      </c>
      <c r="C154" s="2" t="str">
        <f>"陈可"</f>
        <v>陈可</v>
      </c>
      <c r="D154" s="2" t="str">
        <f>"男"</f>
        <v>男</v>
      </c>
      <c r="E154" s="2" t="str">
        <f>"202209042208"</f>
        <v>202209042208</v>
      </c>
      <c r="F154" s="4">
        <v>73.5</v>
      </c>
      <c r="G154" s="4">
        <v>87</v>
      </c>
      <c r="H154" s="4">
        <f t="shared" si="12"/>
        <v>81.6</v>
      </c>
      <c r="I154" s="5" t="s">
        <v>15</v>
      </c>
    </row>
    <row r="155" spans="1:9" ht="14.25">
      <c r="A155" s="4">
        <v>153</v>
      </c>
      <c r="B155" s="2" t="s">
        <v>17</v>
      </c>
      <c r="C155" s="2" t="str">
        <f>"曹永珊"</f>
        <v>曹永珊</v>
      </c>
      <c r="D155" s="2" t="str">
        <f>"女"</f>
        <v>女</v>
      </c>
      <c r="E155" s="2" t="str">
        <f>"202209042019"</f>
        <v>202209042019</v>
      </c>
      <c r="F155" s="4">
        <v>71.80000000000001</v>
      </c>
      <c r="G155" s="4">
        <v>88</v>
      </c>
      <c r="H155" s="4">
        <f t="shared" si="12"/>
        <v>81.52000000000001</v>
      </c>
      <c r="I155" s="5" t="s">
        <v>15</v>
      </c>
    </row>
    <row r="156" spans="1:9" ht="14.25">
      <c r="A156" s="4">
        <v>154</v>
      </c>
      <c r="B156" s="2" t="s">
        <v>17</v>
      </c>
      <c r="C156" s="2" t="str">
        <f>"张奇"</f>
        <v>张奇</v>
      </c>
      <c r="D156" s="2" t="str">
        <f>"男"</f>
        <v>男</v>
      </c>
      <c r="E156" s="2" t="str">
        <f>"202209042220"</f>
        <v>202209042220</v>
      </c>
      <c r="F156" s="4">
        <v>68.4</v>
      </c>
      <c r="G156" s="4">
        <v>89</v>
      </c>
      <c r="H156" s="4">
        <f t="shared" si="12"/>
        <v>80.76</v>
      </c>
      <c r="I156" s="5" t="s">
        <v>15</v>
      </c>
    </row>
    <row r="157" spans="1:9" ht="14.25">
      <c r="A157" s="4">
        <v>155</v>
      </c>
      <c r="B157" s="2" t="s">
        <v>17</v>
      </c>
      <c r="C157" s="2" t="str">
        <f>"步宁宇"</f>
        <v>步宁宇</v>
      </c>
      <c r="D157" s="2" t="str">
        <f>"男"</f>
        <v>男</v>
      </c>
      <c r="E157" s="2" t="str">
        <f>"202209042113"</f>
        <v>202209042113</v>
      </c>
      <c r="F157" s="4">
        <v>71.10000000000001</v>
      </c>
      <c r="G157" s="4">
        <v>87</v>
      </c>
      <c r="H157" s="4">
        <f t="shared" si="12"/>
        <v>80.64</v>
      </c>
      <c r="I157" s="5" t="s">
        <v>15</v>
      </c>
    </row>
    <row r="158" spans="1:9" ht="14.25">
      <c r="A158" s="4">
        <v>156</v>
      </c>
      <c r="B158" s="2" t="s">
        <v>17</v>
      </c>
      <c r="C158" s="2" t="str">
        <f>"彭悦"</f>
        <v>彭悦</v>
      </c>
      <c r="D158" s="2" t="str">
        <f>"女"</f>
        <v>女</v>
      </c>
      <c r="E158" s="2" t="str">
        <f>"202209041926"</f>
        <v>202209041926</v>
      </c>
      <c r="F158" s="4">
        <v>83.7</v>
      </c>
      <c r="G158" s="4">
        <v>78</v>
      </c>
      <c r="H158" s="4">
        <f t="shared" si="12"/>
        <v>80.28</v>
      </c>
      <c r="I158" s="5" t="s">
        <v>15</v>
      </c>
    </row>
    <row r="159" spans="1:9" ht="14.25">
      <c r="A159" s="4">
        <v>157</v>
      </c>
      <c r="B159" s="2" t="s">
        <v>17</v>
      </c>
      <c r="C159" s="2" t="str">
        <f>"陈必礼"</f>
        <v>陈必礼</v>
      </c>
      <c r="D159" s="2" t="str">
        <f>"男"</f>
        <v>男</v>
      </c>
      <c r="E159" s="2" t="str">
        <f>"202209042126"</f>
        <v>202209042126</v>
      </c>
      <c r="F159" s="4">
        <v>74</v>
      </c>
      <c r="G159" s="4">
        <v>84</v>
      </c>
      <c r="H159" s="4">
        <f t="shared" si="12"/>
        <v>80</v>
      </c>
      <c r="I159" s="5" t="s">
        <v>15</v>
      </c>
    </row>
    <row r="160" spans="1:9" ht="14.25">
      <c r="A160" s="4">
        <v>158</v>
      </c>
      <c r="B160" s="2" t="s">
        <v>17</v>
      </c>
      <c r="C160" s="2" t="str">
        <f>"赵雪"</f>
        <v>赵雪</v>
      </c>
      <c r="D160" s="2" t="str">
        <f>"女"</f>
        <v>女</v>
      </c>
      <c r="E160" s="2" t="str">
        <f>"202209042016"</f>
        <v>202209042016</v>
      </c>
      <c r="F160" s="4">
        <v>67.80000000000001</v>
      </c>
      <c r="G160" s="4">
        <v>88</v>
      </c>
      <c r="H160" s="4">
        <f t="shared" si="12"/>
        <v>79.92</v>
      </c>
      <c r="I160" s="5" t="s">
        <v>15</v>
      </c>
    </row>
    <row r="161" spans="1:9" ht="14.25">
      <c r="A161" s="4">
        <v>159</v>
      </c>
      <c r="B161" s="2" t="s">
        <v>17</v>
      </c>
      <c r="C161" s="2" t="str">
        <f>"宋雪杰"</f>
        <v>宋雪杰</v>
      </c>
      <c r="D161" s="2" t="str">
        <f>"女"</f>
        <v>女</v>
      </c>
      <c r="E161" s="2" t="str">
        <f>"202209042102"</f>
        <v>202209042102</v>
      </c>
      <c r="F161" s="4">
        <v>73.80000000000001</v>
      </c>
      <c r="G161" s="4">
        <v>84</v>
      </c>
      <c r="H161" s="4">
        <f t="shared" si="12"/>
        <v>79.92</v>
      </c>
      <c r="I161" s="5" t="s">
        <v>15</v>
      </c>
    </row>
    <row r="162" spans="1:9" ht="14.25">
      <c r="A162" s="4">
        <v>160</v>
      </c>
      <c r="B162" s="2" t="s">
        <v>17</v>
      </c>
      <c r="C162" s="2" t="str">
        <f>"王褚"</f>
        <v>王褚</v>
      </c>
      <c r="D162" s="2" t="str">
        <f>"女"</f>
        <v>女</v>
      </c>
      <c r="E162" s="2" t="str">
        <f>"202209042006"</f>
        <v>202209042006</v>
      </c>
      <c r="F162" s="4">
        <v>62.900000000000006</v>
      </c>
      <c r="G162" s="4">
        <v>90</v>
      </c>
      <c r="H162" s="4">
        <f t="shared" si="12"/>
        <v>79.16</v>
      </c>
      <c r="I162" s="5" t="s">
        <v>15</v>
      </c>
    </row>
    <row r="163" spans="1:9" ht="14.25">
      <c r="A163" s="4">
        <v>161</v>
      </c>
      <c r="B163" s="2" t="s">
        <v>18</v>
      </c>
      <c r="C163" s="2" t="str">
        <f>"王秀梅"</f>
        <v>王秀梅</v>
      </c>
      <c r="D163" s="2" t="str">
        <f aca="true" t="shared" si="13" ref="D163:D172">"女"</f>
        <v>女</v>
      </c>
      <c r="E163" s="2" t="str">
        <f>"202209043122"</f>
        <v>202209043122</v>
      </c>
      <c r="F163" s="4">
        <v>79</v>
      </c>
      <c r="G163" s="4">
        <v>85</v>
      </c>
      <c r="H163" s="4">
        <f aca="true" t="shared" si="14" ref="H163:H172">G163*0.6+F163*0.4</f>
        <v>82.6</v>
      </c>
      <c r="I163" s="5" t="s">
        <v>11</v>
      </c>
    </row>
    <row r="164" spans="1:9" ht="14.25">
      <c r="A164" s="4">
        <v>162</v>
      </c>
      <c r="B164" s="2" t="s">
        <v>18</v>
      </c>
      <c r="C164" s="2" t="str">
        <f>"韩春颖"</f>
        <v>韩春颖</v>
      </c>
      <c r="D164" s="2" t="str">
        <f t="shared" si="13"/>
        <v>女</v>
      </c>
      <c r="E164" s="2" t="str">
        <f>"202209043113"</f>
        <v>202209043113</v>
      </c>
      <c r="F164" s="4">
        <v>80.30000000000001</v>
      </c>
      <c r="G164" s="4">
        <v>83</v>
      </c>
      <c r="H164" s="4">
        <f t="shared" si="14"/>
        <v>81.92</v>
      </c>
      <c r="I164" s="5" t="s">
        <v>11</v>
      </c>
    </row>
    <row r="165" spans="1:9" ht="14.25">
      <c r="A165" s="4">
        <v>163</v>
      </c>
      <c r="B165" s="2" t="s">
        <v>18</v>
      </c>
      <c r="C165" s="2" t="str">
        <f>"桂莉莉"</f>
        <v>桂莉莉</v>
      </c>
      <c r="D165" s="2" t="str">
        <f t="shared" si="13"/>
        <v>女</v>
      </c>
      <c r="E165" s="2" t="str">
        <f>"202209042424"</f>
        <v>202209042424</v>
      </c>
      <c r="F165" s="4">
        <v>79.5</v>
      </c>
      <c r="G165" s="4">
        <v>82</v>
      </c>
      <c r="H165" s="4">
        <f t="shared" si="14"/>
        <v>81</v>
      </c>
      <c r="I165" s="5" t="s">
        <v>11</v>
      </c>
    </row>
    <row r="166" spans="1:9" ht="14.25">
      <c r="A166" s="4">
        <v>164</v>
      </c>
      <c r="B166" s="2" t="s">
        <v>18</v>
      </c>
      <c r="C166" s="2" t="str">
        <f>"张新雨"</f>
        <v>张新雨</v>
      </c>
      <c r="D166" s="2" t="str">
        <f t="shared" si="13"/>
        <v>女</v>
      </c>
      <c r="E166" s="2" t="str">
        <f>"202209042403"</f>
        <v>202209042403</v>
      </c>
      <c r="F166" s="4">
        <v>81.2</v>
      </c>
      <c r="G166" s="4">
        <v>80</v>
      </c>
      <c r="H166" s="4">
        <f t="shared" si="14"/>
        <v>80.48</v>
      </c>
      <c r="I166" s="5" t="s">
        <v>11</v>
      </c>
    </row>
    <row r="167" spans="1:9" ht="14.25">
      <c r="A167" s="4">
        <v>165</v>
      </c>
      <c r="B167" s="2" t="s">
        <v>18</v>
      </c>
      <c r="C167" s="2" t="str">
        <f>"王静"</f>
        <v>王静</v>
      </c>
      <c r="D167" s="2" t="str">
        <f t="shared" si="13"/>
        <v>女</v>
      </c>
      <c r="E167" s="2" t="str">
        <f>"202209042302"</f>
        <v>202209042302</v>
      </c>
      <c r="F167" s="4">
        <v>72.10000000000001</v>
      </c>
      <c r="G167" s="4">
        <v>85</v>
      </c>
      <c r="H167" s="4">
        <f t="shared" si="14"/>
        <v>79.84</v>
      </c>
      <c r="I167" s="5" t="s">
        <v>11</v>
      </c>
    </row>
    <row r="168" spans="1:9" ht="14.25">
      <c r="A168" s="4">
        <v>166</v>
      </c>
      <c r="B168" s="2" t="s">
        <v>18</v>
      </c>
      <c r="C168" s="2" t="str">
        <f>"张亚东"</f>
        <v>张亚东</v>
      </c>
      <c r="D168" s="2" t="str">
        <f t="shared" si="13"/>
        <v>女</v>
      </c>
      <c r="E168" s="2" t="str">
        <f>"202209043124"</f>
        <v>202209043124</v>
      </c>
      <c r="F168" s="4">
        <v>73.7</v>
      </c>
      <c r="G168" s="4">
        <v>82</v>
      </c>
      <c r="H168" s="4">
        <f t="shared" si="14"/>
        <v>78.68</v>
      </c>
      <c r="I168" s="5" t="s">
        <v>11</v>
      </c>
    </row>
    <row r="169" spans="1:9" ht="14.25">
      <c r="A169" s="4">
        <v>167</v>
      </c>
      <c r="B169" s="2" t="s">
        <v>18</v>
      </c>
      <c r="C169" s="2" t="str">
        <f>"武姣姣"</f>
        <v>武姣姣</v>
      </c>
      <c r="D169" s="2" t="str">
        <f t="shared" si="13"/>
        <v>女</v>
      </c>
      <c r="E169" s="2" t="str">
        <f>"202209043126"</f>
        <v>202209043126</v>
      </c>
      <c r="F169" s="4">
        <v>74</v>
      </c>
      <c r="G169" s="4">
        <v>81</v>
      </c>
      <c r="H169" s="4">
        <f t="shared" si="14"/>
        <v>78.2</v>
      </c>
      <c r="I169" s="5" t="s">
        <v>11</v>
      </c>
    </row>
    <row r="170" spans="1:9" ht="14.25">
      <c r="A170" s="4">
        <v>168</v>
      </c>
      <c r="B170" s="2" t="s">
        <v>18</v>
      </c>
      <c r="C170" s="2" t="str">
        <f>"申瑞雪"</f>
        <v>申瑞雪</v>
      </c>
      <c r="D170" s="2" t="str">
        <f t="shared" si="13"/>
        <v>女</v>
      </c>
      <c r="E170" s="2" t="str">
        <f>"202209042411"</f>
        <v>202209042411</v>
      </c>
      <c r="F170" s="4">
        <v>74.9</v>
      </c>
      <c r="G170" s="4">
        <v>80</v>
      </c>
      <c r="H170" s="4">
        <f t="shared" si="14"/>
        <v>77.96000000000001</v>
      </c>
      <c r="I170" s="5" t="s">
        <v>11</v>
      </c>
    </row>
    <row r="171" spans="1:9" ht="14.25">
      <c r="A171" s="4">
        <v>169</v>
      </c>
      <c r="B171" s="2" t="s">
        <v>18</v>
      </c>
      <c r="C171" s="2" t="str">
        <f>"马艳群"</f>
        <v>马艳群</v>
      </c>
      <c r="D171" s="2" t="str">
        <f t="shared" si="13"/>
        <v>女</v>
      </c>
      <c r="E171" s="2" t="str">
        <f>"202209042428"</f>
        <v>202209042428</v>
      </c>
      <c r="F171" s="4">
        <v>71.4</v>
      </c>
      <c r="G171" s="4">
        <v>81</v>
      </c>
      <c r="H171" s="4">
        <f t="shared" si="14"/>
        <v>77.16</v>
      </c>
      <c r="I171" s="5" t="s">
        <v>11</v>
      </c>
    </row>
    <row r="172" spans="1:9" ht="14.25">
      <c r="A172" s="4">
        <v>170</v>
      </c>
      <c r="B172" s="2" t="s">
        <v>18</v>
      </c>
      <c r="C172" s="2" t="str">
        <f>"张晓静"</f>
        <v>张晓静</v>
      </c>
      <c r="D172" s="2" t="str">
        <f t="shared" si="13"/>
        <v>女</v>
      </c>
      <c r="E172" s="2" t="str">
        <f>"202209042416"</f>
        <v>202209042416</v>
      </c>
      <c r="F172" s="4">
        <v>71.10000000000001</v>
      </c>
      <c r="G172" s="4">
        <v>81</v>
      </c>
      <c r="H172" s="4">
        <f t="shared" si="14"/>
        <v>77.04</v>
      </c>
      <c r="I172" s="5" t="s">
        <v>11</v>
      </c>
    </row>
    <row r="173" spans="1:9" ht="14.25">
      <c r="A173" s="4">
        <v>171</v>
      </c>
      <c r="B173" s="2" t="s">
        <v>18</v>
      </c>
      <c r="C173" s="2" t="str">
        <f>"刘盼盼"</f>
        <v>刘盼盼</v>
      </c>
      <c r="D173" s="2" t="str">
        <f aca="true" t="shared" si="15" ref="D173:D179">"女"</f>
        <v>女</v>
      </c>
      <c r="E173" s="2" t="str">
        <f>"202209042326"</f>
        <v>202209042326</v>
      </c>
      <c r="F173" s="4">
        <v>75</v>
      </c>
      <c r="G173" s="4">
        <v>78</v>
      </c>
      <c r="H173" s="4">
        <f aca="true" t="shared" si="16" ref="H173:H182">G173*0.6+F173*0.4</f>
        <v>76.8</v>
      </c>
      <c r="I173" s="5" t="s">
        <v>11</v>
      </c>
    </row>
    <row r="174" spans="1:9" ht="14.25">
      <c r="A174" s="4">
        <v>172</v>
      </c>
      <c r="B174" s="2" t="s">
        <v>18</v>
      </c>
      <c r="C174" s="2" t="str">
        <f>"刘崴"</f>
        <v>刘崴</v>
      </c>
      <c r="D174" s="2" t="str">
        <f t="shared" si="15"/>
        <v>女</v>
      </c>
      <c r="E174" s="2" t="str">
        <f>"202209043121"</f>
        <v>202209043121</v>
      </c>
      <c r="F174" s="4">
        <v>67.2</v>
      </c>
      <c r="G174" s="4">
        <v>83</v>
      </c>
      <c r="H174" s="4">
        <f t="shared" si="16"/>
        <v>76.68</v>
      </c>
      <c r="I174" s="5" t="s">
        <v>11</v>
      </c>
    </row>
    <row r="175" spans="1:9" ht="14.25">
      <c r="A175" s="4">
        <v>173</v>
      </c>
      <c r="B175" s="2" t="s">
        <v>18</v>
      </c>
      <c r="C175" s="2" t="str">
        <f>"沈蕊先"</f>
        <v>沈蕊先</v>
      </c>
      <c r="D175" s="2" t="str">
        <f t="shared" si="15"/>
        <v>女</v>
      </c>
      <c r="E175" s="2" t="str">
        <f>"202209042417"</f>
        <v>202209042417</v>
      </c>
      <c r="F175" s="4">
        <v>72.4</v>
      </c>
      <c r="G175" s="4">
        <v>79</v>
      </c>
      <c r="H175" s="4">
        <f t="shared" si="16"/>
        <v>76.36</v>
      </c>
      <c r="I175" s="5" t="s">
        <v>11</v>
      </c>
    </row>
    <row r="176" spans="1:9" ht="14.25">
      <c r="A176" s="4">
        <v>174</v>
      </c>
      <c r="B176" s="2" t="s">
        <v>18</v>
      </c>
      <c r="C176" s="2" t="str">
        <f>"张艳青"</f>
        <v>张艳青</v>
      </c>
      <c r="D176" s="2" t="str">
        <f t="shared" si="15"/>
        <v>女</v>
      </c>
      <c r="E176" s="2" t="str">
        <f>"202209043111"</f>
        <v>202209043111</v>
      </c>
      <c r="F176" s="4">
        <v>77.4</v>
      </c>
      <c r="G176" s="4">
        <v>75</v>
      </c>
      <c r="H176" s="4">
        <f t="shared" si="16"/>
        <v>75.96000000000001</v>
      </c>
      <c r="I176" s="5" t="s">
        <v>11</v>
      </c>
    </row>
    <row r="177" spans="1:9" ht="14.25">
      <c r="A177" s="4">
        <v>175</v>
      </c>
      <c r="B177" s="2" t="s">
        <v>18</v>
      </c>
      <c r="C177" s="2" t="str">
        <f>"刘盼盼"</f>
        <v>刘盼盼</v>
      </c>
      <c r="D177" s="2" t="str">
        <f t="shared" si="15"/>
        <v>女</v>
      </c>
      <c r="E177" s="2" t="str">
        <f>"202209043128"</f>
        <v>202209043128</v>
      </c>
      <c r="F177" s="4">
        <v>68</v>
      </c>
      <c r="G177" s="4">
        <v>81</v>
      </c>
      <c r="H177" s="4">
        <f t="shared" si="16"/>
        <v>75.80000000000001</v>
      </c>
      <c r="I177" s="5" t="s">
        <v>11</v>
      </c>
    </row>
    <row r="178" spans="1:9" ht="14.25">
      <c r="A178" s="4">
        <v>176</v>
      </c>
      <c r="B178" s="2" t="s">
        <v>18</v>
      </c>
      <c r="C178" s="2" t="str">
        <f>"黄颍颍"</f>
        <v>黄颍颍</v>
      </c>
      <c r="D178" s="2" t="str">
        <f t="shared" si="15"/>
        <v>女</v>
      </c>
      <c r="E178" s="2" t="str">
        <f>"202209042325"</f>
        <v>202209042325</v>
      </c>
      <c r="F178" s="4">
        <v>69.4</v>
      </c>
      <c r="G178" s="4">
        <v>80</v>
      </c>
      <c r="H178" s="4">
        <f t="shared" si="16"/>
        <v>75.76</v>
      </c>
      <c r="I178" s="5" t="s">
        <v>11</v>
      </c>
    </row>
    <row r="179" spans="1:9" ht="14.25">
      <c r="A179" s="4">
        <v>177</v>
      </c>
      <c r="B179" s="2" t="s">
        <v>18</v>
      </c>
      <c r="C179" s="2" t="str">
        <f>"欧阳梦婕"</f>
        <v>欧阳梦婕</v>
      </c>
      <c r="D179" s="2" t="str">
        <f t="shared" si="15"/>
        <v>女</v>
      </c>
      <c r="E179" s="2" t="str">
        <f>"202209042407"</f>
        <v>202209042407</v>
      </c>
      <c r="F179" s="4">
        <v>69.7</v>
      </c>
      <c r="G179" s="4">
        <v>79</v>
      </c>
      <c r="H179" s="4">
        <f t="shared" si="16"/>
        <v>75.28</v>
      </c>
      <c r="I179" s="5" t="s">
        <v>11</v>
      </c>
    </row>
    <row r="180" spans="1:9" ht="14.25">
      <c r="A180" s="4">
        <v>178</v>
      </c>
      <c r="B180" s="2" t="s">
        <v>18</v>
      </c>
      <c r="C180" s="2" t="str">
        <f>"李礼"</f>
        <v>李礼</v>
      </c>
      <c r="D180" s="2" t="str">
        <f>"男"</f>
        <v>男</v>
      </c>
      <c r="E180" s="2" t="str">
        <f>"202209042309"</f>
        <v>202209042309</v>
      </c>
      <c r="F180" s="4">
        <v>66.3</v>
      </c>
      <c r="G180" s="4">
        <v>81</v>
      </c>
      <c r="H180" s="4">
        <f t="shared" si="16"/>
        <v>75.12</v>
      </c>
      <c r="I180" s="5" t="s">
        <v>11</v>
      </c>
    </row>
    <row r="181" spans="1:9" ht="14.25">
      <c r="A181" s="4">
        <v>179</v>
      </c>
      <c r="B181" s="2" t="s">
        <v>18</v>
      </c>
      <c r="C181" s="2" t="str">
        <f>"方静静"</f>
        <v>方静静</v>
      </c>
      <c r="D181" s="2" t="str">
        <f>"女"</f>
        <v>女</v>
      </c>
      <c r="E181" s="2" t="str">
        <f>"202209042401"</f>
        <v>202209042401</v>
      </c>
      <c r="F181" s="4">
        <v>74.9</v>
      </c>
      <c r="G181" s="4">
        <v>75</v>
      </c>
      <c r="H181" s="4">
        <f t="shared" si="16"/>
        <v>74.96000000000001</v>
      </c>
      <c r="I181" s="5" t="s">
        <v>11</v>
      </c>
    </row>
    <row r="182" spans="1:9" ht="14.25">
      <c r="A182" s="4">
        <v>180</v>
      </c>
      <c r="B182" s="2" t="s">
        <v>18</v>
      </c>
      <c r="C182" s="2" t="str">
        <f>"孟静"</f>
        <v>孟静</v>
      </c>
      <c r="D182" s="2" t="str">
        <f>"女"</f>
        <v>女</v>
      </c>
      <c r="E182" s="2" t="str">
        <f>"202209042404"</f>
        <v>202209042404</v>
      </c>
      <c r="F182" s="4">
        <v>85.1</v>
      </c>
      <c r="G182" s="4">
        <v>68</v>
      </c>
      <c r="H182" s="4">
        <f t="shared" si="16"/>
        <v>74.84</v>
      </c>
      <c r="I182" s="5" t="s">
        <v>11</v>
      </c>
    </row>
    <row r="183" spans="1:9" ht="14.25">
      <c r="A183" s="4">
        <v>181</v>
      </c>
      <c r="B183" s="2" t="s">
        <v>19</v>
      </c>
      <c r="C183" s="2" t="str">
        <f>"刘梦园"</f>
        <v>刘梦园</v>
      </c>
      <c r="D183" s="2" t="str">
        <f>"女"</f>
        <v>女</v>
      </c>
      <c r="E183" s="2" t="str">
        <f>"202209043214"</f>
        <v>202209043214</v>
      </c>
      <c r="F183" s="4">
        <v>72.80000000000001</v>
      </c>
      <c r="G183" s="4">
        <v>88</v>
      </c>
      <c r="H183" s="4">
        <f aca="true" t="shared" si="17" ref="H183:H205">G183*0.6+F183*0.4</f>
        <v>81.92</v>
      </c>
      <c r="I183" s="5" t="s">
        <v>20</v>
      </c>
    </row>
    <row r="184" spans="1:9" ht="14.25">
      <c r="A184" s="4">
        <v>182</v>
      </c>
      <c r="B184" s="2" t="s">
        <v>19</v>
      </c>
      <c r="C184" s="2" t="str">
        <f>"刘小蝶"</f>
        <v>刘小蝶</v>
      </c>
      <c r="D184" s="2" t="str">
        <f>"女"</f>
        <v>女</v>
      </c>
      <c r="E184" s="2" t="str">
        <f>"202209043228"</f>
        <v>202209043228</v>
      </c>
      <c r="F184" s="4">
        <v>77.80000000000001</v>
      </c>
      <c r="G184" s="4">
        <v>79</v>
      </c>
      <c r="H184" s="4">
        <f t="shared" si="17"/>
        <v>78.52000000000001</v>
      </c>
      <c r="I184" s="5" t="s">
        <v>20</v>
      </c>
    </row>
    <row r="185" spans="1:9" ht="14.25">
      <c r="A185" s="4">
        <v>183</v>
      </c>
      <c r="B185" s="2" t="s">
        <v>19</v>
      </c>
      <c r="C185" s="2" t="str">
        <f>"秦文"</f>
        <v>秦文</v>
      </c>
      <c r="D185" s="2" t="str">
        <f>"男"</f>
        <v>男</v>
      </c>
      <c r="E185" s="2" t="str">
        <f>"202209043213"</f>
        <v>202209043213</v>
      </c>
      <c r="F185" s="4">
        <v>74.6</v>
      </c>
      <c r="G185" s="4">
        <v>81</v>
      </c>
      <c r="H185" s="4">
        <f t="shared" si="17"/>
        <v>78.44</v>
      </c>
      <c r="I185" s="5" t="s">
        <v>20</v>
      </c>
    </row>
    <row r="186" spans="1:9" ht="14.25">
      <c r="A186" s="4">
        <v>184</v>
      </c>
      <c r="B186" s="2" t="s">
        <v>19</v>
      </c>
      <c r="C186" s="2" t="str">
        <f>"陈曼如"</f>
        <v>陈曼如</v>
      </c>
      <c r="D186" s="2" t="str">
        <f>"女"</f>
        <v>女</v>
      </c>
      <c r="E186" s="2" t="str">
        <f>"202209043223"</f>
        <v>202209043223</v>
      </c>
      <c r="F186" s="4">
        <v>72.7</v>
      </c>
      <c r="G186" s="4">
        <v>74</v>
      </c>
      <c r="H186" s="4">
        <f t="shared" si="17"/>
        <v>73.48</v>
      </c>
      <c r="I186" s="5" t="s">
        <v>20</v>
      </c>
    </row>
    <row r="187" spans="1:9" ht="14.25">
      <c r="A187" s="4">
        <v>185</v>
      </c>
      <c r="B187" s="2" t="s">
        <v>19</v>
      </c>
      <c r="C187" s="2" t="str">
        <f>"赵珍珍"</f>
        <v>赵珍珍</v>
      </c>
      <c r="D187" s="2" t="str">
        <f>"女"</f>
        <v>女</v>
      </c>
      <c r="E187" s="2" t="str">
        <f>"202209043211"</f>
        <v>202209043211</v>
      </c>
      <c r="F187" s="4">
        <v>66.30000000000001</v>
      </c>
      <c r="G187" s="4">
        <v>71</v>
      </c>
      <c r="H187" s="4">
        <f t="shared" si="17"/>
        <v>69.12</v>
      </c>
      <c r="I187" s="5" t="s">
        <v>20</v>
      </c>
    </row>
    <row r="188" spans="1:9" ht="14.25">
      <c r="A188" s="4">
        <v>186</v>
      </c>
      <c r="B188" s="2" t="s">
        <v>19</v>
      </c>
      <c r="C188" s="2" t="str">
        <f>"李景致"</f>
        <v>李景致</v>
      </c>
      <c r="D188" s="2" t="str">
        <f>"男"</f>
        <v>男</v>
      </c>
      <c r="E188" s="2" t="str">
        <f>"202209043201"</f>
        <v>202209043201</v>
      </c>
      <c r="F188" s="4">
        <v>68.8</v>
      </c>
      <c r="G188" s="4">
        <v>68</v>
      </c>
      <c r="H188" s="4">
        <f t="shared" si="17"/>
        <v>68.32</v>
      </c>
      <c r="I188" s="5" t="s">
        <v>20</v>
      </c>
    </row>
    <row r="189" spans="1:9" ht="14.25">
      <c r="A189" s="4">
        <v>187</v>
      </c>
      <c r="B189" s="2" t="s">
        <v>19</v>
      </c>
      <c r="C189" s="2" t="str">
        <f>"陈紫诺"</f>
        <v>陈紫诺</v>
      </c>
      <c r="D189" s="2" t="str">
        <f>"女"</f>
        <v>女</v>
      </c>
      <c r="E189" s="2" t="str">
        <f>"202209043221"</f>
        <v>202209043221</v>
      </c>
      <c r="F189" s="4">
        <v>68.6</v>
      </c>
      <c r="G189" s="4">
        <v>66</v>
      </c>
      <c r="H189" s="4">
        <f t="shared" si="17"/>
        <v>67.03999999999999</v>
      </c>
      <c r="I189" s="5" t="s">
        <v>20</v>
      </c>
    </row>
    <row r="190" spans="1:9" ht="14.25">
      <c r="A190" s="4">
        <v>188</v>
      </c>
      <c r="B190" s="2" t="s">
        <v>19</v>
      </c>
      <c r="C190" s="2" t="str">
        <f>"黄辉"</f>
        <v>黄辉</v>
      </c>
      <c r="D190" s="2" t="str">
        <f>"男"</f>
        <v>男</v>
      </c>
      <c r="E190" s="2" t="str">
        <f>"202209043217"</f>
        <v>202209043217</v>
      </c>
      <c r="F190" s="4">
        <v>60.400000000000006</v>
      </c>
      <c r="G190" s="4">
        <v>71</v>
      </c>
      <c r="H190" s="4">
        <f t="shared" si="17"/>
        <v>66.76</v>
      </c>
      <c r="I190" s="5" t="s">
        <v>20</v>
      </c>
    </row>
    <row r="191" spans="1:9" ht="14.25">
      <c r="A191" s="4">
        <v>189</v>
      </c>
      <c r="B191" s="2" t="s">
        <v>19</v>
      </c>
      <c r="C191" s="2" t="str">
        <f>"刘玲玲"</f>
        <v>刘玲玲</v>
      </c>
      <c r="D191" s="2" t="str">
        <f>"女"</f>
        <v>女</v>
      </c>
      <c r="E191" s="2" t="str">
        <f>"202209043220"</f>
        <v>202209043220</v>
      </c>
      <c r="F191" s="4">
        <v>71.2</v>
      </c>
      <c r="G191" s="4">
        <v>60</v>
      </c>
      <c r="H191" s="4">
        <f t="shared" si="17"/>
        <v>64.48</v>
      </c>
      <c r="I191" s="5" t="s">
        <v>20</v>
      </c>
    </row>
    <row r="192" spans="1:9" ht="14.25">
      <c r="A192" s="4">
        <v>190</v>
      </c>
      <c r="B192" s="2" t="s">
        <v>19</v>
      </c>
      <c r="C192" s="2" t="str">
        <f>"杨硕"</f>
        <v>杨硕</v>
      </c>
      <c r="D192" s="2" t="str">
        <f>"男"</f>
        <v>男</v>
      </c>
      <c r="E192" s="2" t="str">
        <f>"202209043219"</f>
        <v>202209043219</v>
      </c>
      <c r="F192" s="4">
        <v>63.400000000000006</v>
      </c>
      <c r="G192" s="4">
        <v>65</v>
      </c>
      <c r="H192" s="4">
        <f t="shared" si="17"/>
        <v>64.36</v>
      </c>
      <c r="I192" s="5" t="s">
        <v>20</v>
      </c>
    </row>
    <row r="193" spans="1:9" ht="14.25">
      <c r="A193" s="4">
        <v>191</v>
      </c>
      <c r="B193" s="2" t="s">
        <v>19</v>
      </c>
      <c r="C193" s="2" t="str">
        <f>"王昌珍"</f>
        <v>王昌珍</v>
      </c>
      <c r="D193" s="2" t="str">
        <f aca="true" t="shared" si="18" ref="D193:D198">"女"</f>
        <v>女</v>
      </c>
      <c r="E193" s="2" t="str">
        <f>"202209043227"</f>
        <v>202209043227</v>
      </c>
      <c r="F193" s="4">
        <v>73.2</v>
      </c>
      <c r="G193" s="4">
        <v>57</v>
      </c>
      <c r="H193" s="4">
        <f t="shared" si="17"/>
        <v>63.48</v>
      </c>
      <c r="I193" s="5" t="s">
        <v>20</v>
      </c>
    </row>
    <row r="194" spans="1:9" ht="14.25">
      <c r="A194" s="4">
        <v>192</v>
      </c>
      <c r="B194" s="2" t="s">
        <v>19</v>
      </c>
      <c r="C194" s="2" t="str">
        <f>"汪欢欢"</f>
        <v>汪欢欢</v>
      </c>
      <c r="D194" s="2" t="str">
        <f t="shared" si="18"/>
        <v>女</v>
      </c>
      <c r="E194" s="2" t="str">
        <f>"202209043226"</f>
        <v>202209043226</v>
      </c>
      <c r="F194" s="4">
        <v>63.1</v>
      </c>
      <c r="G194" s="4">
        <v>60</v>
      </c>
      <c r="H194" s="4">
        <f t="shared" si="17"/>
        <v>61.24</v>
      </c>
      <c r="I194" s="5" t="s">
        <v>20</v>
      </c>
    </row>
    <row r="195" spans="1:9" ht="14.25">
      <c r="A195" s="4">
        <v>193</v>
      </c>
      <c r="B195" s="2" t="s">
        <v>19</v>
      </c>
      <c r="C195" s="2" t="str">
        <f>"饶兰"</f>
        <v>饶兰</v>
      </c>
      <c r="D195" s="2" t="str">
        <f t="shared" si="18"/>
        <v>女</v>
      </c>
      <c r="E195" s="2" t="str">
        <f>"202209043208"</f>
        <v>202209043208</v>
      </c>
      <c r="F195" s="4">
        <v>57.400000000000006</v>
      </c>
      <c r="G195" s="4">
        <v>62</v>
      </c>
      <c r="H195" s="4">
        <f t="shared" si="17"/>
        <v>60.16</v>
      </c>
      <c r="I195" s="5" t="s">
        <v>20</v>
      </c>
    </row>
    <row r="196" spans="1:9" ht="14.25">
      <c r="A196" s="4">
        <v>194</v>
      </c>
      <c r="B196" s="2" t="s">
        <v>21</v>
      </c>
      <c r="C196" s="2" t="str">
        <f>"李莲"</f>
        <v>李莲</v>
      </c>
      <c r="D196" s="2" t="str">
        <f t="shared" si="18"/>
        <v>女</v>
      </c>
      <c r="E196" s="2" t="str">
        <f>"202209043303"</f>
        <v>202209043303</v>
      </c>
      <c r="F196" s="4">
        <v>73.2</v>
      </c>
      <c r="G196" s="4">
        <v>82</v>
      </c>
      <c r="H196" s="4">
        <f t="shared" si="17"/>
        <v>78.47999999999999</v>
      </c>
      <c r="I196" s="5" t="s">
        <v>20</v>
      </c>
    </row>
    <row r="197" spans="1:9" ht="14.25">
      <c r="A197" s="4">
        <v>195</v>
      </c>
      <c r="B197" s="2" t="s">
        <v>21</v>
      </c>
      <c r="C197" s="2" t="str">
        <f>"刘文青"</f>
        <v>刘文青</v>
      </c>
      <c r="D197" s="2" t="str">
        <f t="shared" si="18"/>
        <v>女</v>
      </c>
      <c r="E197" s="2" t="str">
        <f>"202209043301"</f>
        <v>202209043301</v>
      </c>
      <c r="F197" s="4">
        <v>76.4</v>
      </c>
      <c r="G197" s="4">
        <v>71</v>
      </c>
      <c r="H197" s="4">
        <f t="shared" si="17"/>
        <v>73.16</v>
      </c>
      <c r="I197" s="5" t="s">
        <v>20</v>
      </c>
    </row>
    <row r="198" spans="1:9" ht="14.25">
      <c r="A198" s="4">
        <v>196</v>
      </c>
      <c r="B198" s="2" t="s">
        <v>21</v>
      </c>
      <c r="C198" s="2" t="str">
        <f>"张园园"</f>
        <v>张园园</v>
      </c>
      <c r="D198" s="2" t="str">
        <f t="shared" si="18"/>
        <v>女</v>
      </c>
      <c r="E198" s="2" t="str">
        <f>"202209043306"</f>
        <v>202209043306</v>
      </c>
      <c r="F198" s="4">
        <v>65.7</v>
      </c>
      <c r="G198" s="4">
        <v>74</v>
      </c>
      <c r="H198" s="4">
        <f t="shared" si="17"/>
        <v>70.68</v>
      </c>
      <c r="I198" s="5" t="s">
        <v>20</v>
      </c>
    </row>
    <row r="199" spans="1:9" ht="14.25">
      <c r="A199" s="4">
        <v>197</v>
      </c>
      <c r="B199" s="2" t="s">
        <v>22</v>
      </c>
      <c r="C199" s="2" t="str">
        <f>"贺帮婷"</f>
        <v>贺帮婷</v>
      </c>
      <c r="D199" s="2" t="str">
        <f aca="true" t="shared" si="19" ref="D199:D208">"女"</f>
        <v>女</v>
      </c>
      <c r="E199" s="2" t="str">
        <f>"202209043401"</f>
        <v>202209043401</v>
      </c>
      <c r="F199" s="4">
        <v>66.30000000000001</v>
      </c>
      <c r="G199" s="4">
        <v>73</v>
      </c>
      <c r="H199" s="4">
        <f t="shared" si="17"/>
        <v>70.32000000000001</v>
      </c>
      <c r="I199" s="5" t="s">
        <v>20</v>
      </c>
    </row>
    <row r="200" spans="1:9" ht="14.25">
      <c r="A200" s="4">
        <v>198</v>
      </c>
      <c r="B200" s="2" t="s">
        <v>22</v>
      </c>
      <c r="C200" s="2" t="str">
        <f>"邓雨晴"</f>
        <v>邓雨晴</v>
      </c>
      <c r="D200" s="2" t="str">
        <f t="shared" si="19"/>
        <v>女</v>
      </c>
      <c r="E200" s="2" t="str">
        <f>"202209043422"</f>
        <v>202209043422</v>
      </c>
      <c r="F200" s="4">
        <v>64.30000000000001</v>
      </c>
      <c r="G200" s="4">
        <v>74</v>
      </c>
      <c r="H200" s="4">
        <f t="shared" si="17"/>
        <v>70.12</v>
      </c>
      <c r="I200" s="5" t="s">
        <v>20</v>
      </c>
    </row>
    <row r="201" spans="1:9" ht="14.25">
      <c r="A201" s="4">
        <v>199</v>
      </c>
      <c r="B201" s="2" t="s">
        <v>22</v>
      </c>
      <c r="C201" s="2" t="str">
        <f>"周丹丹"</f>
        <v>周丹丹</v>
      </c>
      <c r="D201" s="2" t="str">
        <f t="shared" si="19"/>
        <v>女</v>
      </c>
      <c r="E201" s="2" t="str">
        <f>"202209043409"</f>
        <v>202209043409</v>
      </c>
      <c r="F201" s="4">
        <v>65.2</v>
      </c>
      <c r="G201" s="4">
        <v>73</v>
      </c>
      <c r="H201" s="4">
        <f t="shared" si="17"/>
        <v>69.88</v>
      </c>
      <c r="I201" s="5" t="s">
        <v>20</v>
      </c>
    </row>
    <row r="202" spans="1:9" ht="14.25">
      <c r="A202" s="4">
        <v>200</v>
      </c>
      <c r="B202" s="2" t="s">
        <v>22</v>
      </c>
      <c r="C202" s="2" t="str">
        <f>"张立悦"</f>
        <v>张立悦</v>
      </c>
      <c r="D202" s="2" t="str">
        <f t="shared" si="19"/>
        <v>女</v>
      </c>
      <c r="E202" s="2" t="str">
        <f>"202209043416"</f>
        <v>202209043416</v>
      </c>
      <c r="F202" s="4">
        <v>67.6</v>
      </c>
      <c r="G202" s="4">
        <v>65</v>
      </c>
      <c r="H202" s="4">
        <f t="shared" si="17"/>
        <v>66.03999999999999</v>
      </c>
      <c r="I202" s="5" t="s">
        <v>20</v>
      </c>
    </row>
    <row r="203" spans="1:9" ht="14.25">
      <c r="A203" s="4">
        <v>201</v>
      </c>
      <c r="B203" s="2" t="s">
        <v>22</v>
      </c>
      <c r="C203" s="2" t="str">
        <f>"刘璇璇"</f>
        <v>刘璇璇</v>
      </c>
      <c r="D203" s="2" t="str">
        <f t="shared" si="19"/>
        <v>女</v>
      </c>
      <c r="E203" s="2" t="str">
        <f>"202209043413"</f>
        <v>202209043413</v>
      </c>
      <c r="F203" s="4">
        <v>61.8</v>
      </c>
      <c r="G203" s="4">
        <v>68</v>
      </c>
      <c r="H203" s="4">
        <f t="shared" si="17"/>
        <v>65.52</v>
      </c>
      <c r="I203" s="5" t="s">
        <v>20</v>
      </c>
    </row>
    <row r="204" spans="1:9" ht="14.25">
      <c r="A204" s="4">
        <v>202</v>
      </c>
      <c r="B204" s="2" t="s">
        <v>22</v>
      </c>
      <c r="C204" s="2" t="str">
        <f>"李欣"</f>
        <v>李欣</v>
      </c>
      <c r="D204" s="2" t="str">
        <f t="shared" si="19"/>
        <v>女</v>
      </c>
      <c r="E204" s="2" t="str">
        <f>"202209043407"</f>
        <v>202209043407</v>
      </c>
      <c r="F204" s="4">
        <v>59</v>
      </c>
      <c r="G204" s="4">
        <v>64</v>
      </c>
      <c r="H204" s="4">
        <f t="shared" si="17"/>
        <v>62</v>
      </c>
      <c r="I204" s="5" t="s">
        <v>20</v>
      </c>
    </row>
    <row r="205" spans="1:9" ht="14.25">
      <c r="A205" s="4">
        <v>203</v>
      </c>
      <c r="B205" s="2" t="s">
        <v>22</v>
      </c>
      <c r="C205" s="2" t="str">
        <f>"孙方兰"</f>
        <v>孙方兰</v>
      </c>
      <c r="D205" s="2" t="str">
        <f t="shared" si="19"/>
        <v>女</v>
      </c>
      <c r="E205" s="2" t="str">
        <f>"202209043423"</f>
        <v>202209043423</v>
      </c>
      <c r="F205" s="4">
        <v>57.6</v>
      </c>
      <c r="G205" s="4">
        <v>62</v>
      </c>
      <c r="H205" s="4">
        <f t="shared" si="17"/>
        <v>60.239999999999995</v>
      </c>
      <c r="I205" s="5" t="s">
        <v>20</v>
      </c>
    </row>
    <row r="206" spans="1:9" ht="14.25">
      <c r="A206" s="4">
        <v>204</v>
      </c>
      <c r="B206" s="2" t="s">
        <v>23</v>
      </c>
      <c r="C206" s="2" t="str">
        <f>"刘青青"</f>
        <v>刘青青</v>
      </c>
      <c r="D206" s="2" t="str">
        <f t="shared" si="19"/>
        <v>女</v>
      </c>
      <c r="E206" s="2" t="str">
        <f>"202209043315"</f>
        <v>202209043315</v>
      </c>
      <c r="F206" s="4">
        <v>79.80000000000001</v>
      </c>
      <c r="G206" s="4">
        <v>86</v>
      </c>
      <c r="H206" s="4">
        <f aca="true" t="shared" si="20" ref="H206:H229">G206*0.6+F206*0.4</f>
        <v>83.52000000000001</v>
      </c>
      <c r="I206" s="5" t="s">
        <v>15</v>
      </c>
    </row>
    <row r="207" spans="1:9" ht="14.25">
      <c r="A207" s="4">
        <v>205</v>
      </c>
      <c r="B207" s="2" t="s">
        <v>23</v>
      </c>
      <c r="C207" s="2" t="str">
        <f>"王静"</f>
        <v>王静</v>
      </c>
      <c r="D207" s="2" t="str">
        <f t="shared" si="19"/>
        <v>女</v>
      </c>
      <c r="E207" s="2" t="str">
        <f>"202209042615"</f>
        <v>202209042615</v>
      </c>
      <c r="F207" s="4">
        <v>63.7</v>
      </c>
      <c r="G207" s="4">
        <v>89</v>
      </c>
      <c r="H207" s="4">
        <f t="shared" si="20"/>
        <v>78.88</v>
      </c>
      <c r="I207" s="5" t="s">
        <v>15</v>
      </c>
    </row>
    <row r="208" spans="1:9" ht="14.25">
      <c r="A208" s="4">
        <v>206</v>
      </c>
      <c r="B208" s="2" t="s">
        <v>23</v>
      </c>
      <c r="C208" s="2" t="str">
        <f>"杨晴"</f>
        <v>杨晴</v>
      </c>
      <c r="D208" s="2" t="str">
        <f t="shared" si="19"/>
        <v>女</v>
      </c>
      <c r="E208" s="2" t="str">
        <f>"202209042611"</f>
        <v>202209042611</v>
      </c>
      <c r="F208" s="4">
        <v>74.10000000000001</v>
      </c>
      <c r="G208" s="4">
        <v>79</v>
      </c>
      <c r="H208" s="4">
        <f t="shared" si="20"/>
        <v>77.04</v>
      </c>
      <c r="I208" s="5" t="s">
        <v>15</v>
      </c>
    </row>
    <row r="209" spans="1:9" ht="14.25">
      <c r="A209" s="4">
        <v>207</v>
      </c>
      <c r="B209" s="2" t="s">
        <v>23</v>
      </c>
      <c r="C209" s="2" t="str">
        <f>"李俊伟"</f>
        <v>李俊伟</v>
      </c>
      <c r="D209" s="2" t="str">
        <f>"男"</f>
        <v>男</v>
      </c>
      <c r="E209" s="2" t="str">
        <f>"202209042629"</f>
        <v>202209042629</v>
      </c>
      <c r="F209" s="4">
        <v>74</v>
      </c>
      <c r="G209" s="4">
        <v>79</v>
      </c>
      <c r="H209" s="4">
        <f t="shared" si="20"/>
        <v>77</v>
      </c>
      <c r="I209" s="5" t="s">
        <v>15</v>
      </c>
    </row>
    <row r="210" spans="1:9" ht="14.25">
      <c r="A210" s="4">
        <v>208</v>
      </c>
      <c r="B210" s="2" t="s">
        <v>23</v>
      </c>
      <c r="C210" s="2" t="str">
        <f>"张加勤"</f>
        <v>张加勤</v>
      </c>
      <c r="D210" s="2" t="str">
        <f>"女"</f>
        <v>女</v>
      </c>
      <c r="E210" s="2" t="str">
        <f>"202209042509"</f>
        <v>202209042509</v>
      </c>
      <c r="F210" s="4">
        <v>75.5</v>
      </c>
      <c r="G210" s="4">
        <v>76</v>
      </c>
      <c r="H210" s="4">
        <f t="shared" si="20"/>
        <v>75.80000000000001</v>
      </c>
      <c r="I210" s="5" t="s">
        <v>15</v>
      </c>
    </row>
    <row r="211" spans="1:9" ht="14.25">
      <c r="A211" s="4">
        <v>209</v>
      </c>
      <c r="B211" s="2" t="s">
        <v>23</v>
      </c>
      <c r="C211" s="2" t="str">
        <f>"李大晓"</f>
        <v>李大晓</v>
      </c>
      <c r="D211" s="2" t="str">
        <f aca="true" t="shared" si="21" ref="D211:D222">"男"</f>
        <v>男</v>
      </c>
      <c r="E211" s="2" t="str">
        <f>"202209042612"</f>
        <v>202209042612</v>
      </c>
      <c r="F211" s="4">
        <v>71.30000000000001</v>
      </c>
      <c r="G211" s="4">
        <v>78</v>
      </c>
      <c r="H211" s="4">
        <f t="shared" si="20"/>
        <v>75.32000000000001</v>
      </c>
      <c r="I211" s="5" t="s">
        <v>15</v>
      </c>
    </row>
    <row r="212" spans="1:9" ht="14.25">
      <c r="A212" s="4">
        <v>210</v>
      </c>
      <c r="B212" s="2" t="s">
        <v>23</v>
      </c>
      <c r="C212" s="2" t="str">
        <f>"李渤"</f>
        <v>李渤</v>
      </c>
      <c r="D212" s="2" t="str">
        <f t="shared" si="21"/>
        <v>男</v>
      </c>
      <c r="E212" s="2" t="str">
        <f>"202209042506"</f>
        <v>202209042506</v>
      </c>
      <c r="F212" s="4">
        <v>67.6</v>
      </c>
      <c r="G212" s="4">
        <v>77</v>
      </c>
      <c r="H212" s="4">
        <f t="shared" si="20"/>
        <v>73.24</v>
      </c>
      <c r="I212" s="5" t="s">
        <v>15</v>
      </c>
    </row>
    <row r="213" spans="1:9" ht="14.25">
      <c r="A213" s="4">
        <v>211</v>
      </c>
      <c r="B213" s="2" t="s">
        <v>23</v>
      </c>
      <c r="C213" s="2" t="str">
        <f>"李凯"</f>
        <v>李凯</v>
      </c>
      <c r="D213" s="2" t="str">
        <f t="shared" si="21"/>
        <v>男</v>
      </c>
      <c r="E213" s="2" t="str">
        <f>"202209042522"</f>
        <v>202209042522</v>
      </c>
      <c r="F213" s="4">
        <v>70.5</v>
      </c>
      <c r="G213" s="4">
        <v>75</v>
      </c>
      <c r="H213" s="4">
        <f t="shared" si="20"/>
        <v>73.2</v>
      </c>
      <c r="I213" s="5" t="s">
        <v>15</v>
      </c>
    </row>
    <row r="214" spans="1:9" ht="14.25">
      <c r="A214" s="4">
        <v>212</v>
      </c>
      <c r="B214" s="2" t="s">
        <v>23</v>
      </c>
      <c r="C214" s="2" t="str">
        <f>"王海生"</f>
        <v>王海生</v>
      </c>
      <c r="D214" s="2" t="str">
        <f t="shared" si="21"/>
        <v>男</v>
      </c>
      <c r="E214" s="2" t="str">
        <f>"202209042606"</f>
        <v>202209042606</v>
      </c>
      <c r="F214" s="4">
        <v>66.80000000000001</v>
      </c>
      <c r="G214" s="4">
        <v>77</v>
      </c>
      <c r="H214" s="4">
        <f t="shared" si="20"/>
        <v>72.92</v>
      </c>
      <c r="I214" s="5" t="s">
        <v>15</v>
      </c>
    </row>
    <row r="215" spans="1:9" ht="14.25">
      <c r="A215" s="4">
        <v>213</v>
      </c>
      <c r="B215" s="2" t="s">
        <v>23</v>
      </c>
      <c r="C215" s="2" t="str">
        <f>"吴国红"</f>
        <v>吴国红</v>
      </c>
      <c r="D215" s="2" t="str">
        <f t="shared" si="21"/>
        <v>男</v>
      </c>
      <c r="E215" s="2" t="str">
        <f>"202209043316"</f>
        <v>202209043316</v>
      </c>
      <c r="F215" s="4">
        <v>69.6</v>
      </c>
      <c r="G215" s="4">
        <v>74</v>
      </c>
      <c r="H215" s="4">
        <f t="shared" si="20"/>
        <v>72.24</v>
      </c>
      <c r="I215" s="5" t="s">
        <v>15</v>
      </c>
    </row>
    <row r="216" spans="1:9" ht="14.25">
      <c r="A216" s="4">
        <v>214</v>
      </c>
      <c r="B216" s="2" t="s">
        <v>23</v>
      </c>
      <c r="C216" s="2" t="str">
        <f>"何宗伟 "</f>
        <v>何宗伟 </v>
      </c>
      <c r="D216" s="2" t="str">
        <f t="shared" si="21"/>
        <v>男</v>
      </c>
      <c r="E216" s="2" t="str">
        <f>"202209042512"</f>
        <v>202209042512</v>
      </c>
      <c r="F216" s="4">
        <v>68.6</v>
      </c>
      <c r="G216" s="4">
        <v>74</v>
      </c>
      <c r="H216" s="4">
        <f t="shared" si="20"/>
        <v>71.84</v>
      </c>
      <c r="I216" s="5" t="s">
        <v>15</v>
      </c>
    </row>
    <row r="217" spans="1:9" ht="14.25">
      <c r="A217" s="4">
        <v>215</v>
      </c>
      <c r="B217" s="2" t="s">
        <v>23</v>
      </c>
      <c r="C217" s="2" t="str">
        <f>"李帅帅"</f>
        <v>李帅帅</v>
      </c>
      <c r="D217" s="2" t="str">
        <f t="shared" si="21"/>
        <v>男</v>
      </c>
      <c r="E217" s="2" t="str">
        <f>"202209042504"</f>
        <v>202209042504</v>
      </c>
      <c r="F217" s="4">
        <v>62.9</v>
      </c>
      <c r="G217" s="4">
        <v>77</v>
      </c>
      <c r="H217" s="4">
        <f t="shared" si="20"/>
        <v>71.36</v>
      </c>
      <c r="I217" s="5" t="s">
        <v>15</v>
      </c>
    </row>
    <row r="218" spans="1:9" ht="14.25">
      <c r="A218" s="4">
        <v>216</v>
      </c>
      <c r="B218" s="2" t="s">
        <v>23</v>
      </c>
      <c r="C218" s="2" t="str">
        <f>"汪臣臣"</f>
        <v>汪臣臣</v>
      </c>
      <c r="D218" s="2" t="str">
        <f t="shared" si="21"/>
        <v>男</v>
      </c>
      <c r="E218" s="2" t="str">
        <f>"202209042524"</f>
        <v>202209042524</v>
      </c>
      <c r="F218" s="4">
        <v>67</v>
      </c>
      <c r="G218" s="4">
        <v>74</v>
      </c>
      <c r="H218" s="4">
        <f t="shared" si="20"/>
        <v>71.2</v>
      </c>
      <c r="I218" s="5" t="s">
        <v>15</v>
      </c>
    </row>
    <row r="219" spans="1:9" ht="14.25">
      <c r="A219" s="4">
        <v>217</v>
      </c>
      <c r="B219" s="2" t="s">
        <v>23</v>
      </c>
      <c r="C219" s="2" t="str">
        <f>"王晗"</f>
        <v>王晗</v>
      </c>
      <c r="D219" s="2" t="str">
        <f t="shared" si="21"/>
        <v>男</v>
      </c>
      <c r="E219" s="2" t="str">
        <f>"202209042614"</f>
        <v>202209042614</v>
      </c>
      <c r="F219" s="4">
        <v>58.8</v>
      </c>
      <c r="G219" s="4">
        <v>78</v>
      </c>
      <c r="H219" s="4">
        <f t="shared" si="20"/>
        <v>70.32</v>
      </c>
      <c r="I219" s="5" t="s">
        <v>15</v>
      </c>
    </row>
    <row r="220" spans="1:9" ht="14.25">
      <c r="A220" s="4">
        <v>218</v>
      </c>
      <c r="B220" s="2" t="s">
        <v>23</v>
      </c>
      <c r="C220" s="2" t="str">
        <f>"肖扬"</f>
        <v>肖扬</v>
      </c>
      <c r="D220" s="2" t="str">
        <f t="shared" si="21"/>
        <v>男</v>
      </c>
      <c r="E220" s="2" t="str">
        <f>"202209042616"</f>
        <v>202209042616</v>
      </c>
      <c r="F220" s="4">
        <v>58.5</v>
      </c>
      <c r="G220" s="4">
        <v>76</v>
      </c>
      <c r="H220" s="4">
        <f t="shared" si="20"/>
        <v>69</v>
      </c>
      <c r="I220" s="5" t="s">
        <v>15</v>
      </c>
    </row>
    <row r="221" spans="1:9" ht="14.25">
      <c r="A221" s="4">
        <v>219</v>
      </c>
      <c r="B221" s="2" t="s">
        <v>23</v>
      </c>
      <c r="C221" s="2" t="str">
        <f>"李志"</f>
        <v>李志</v>
      </c>
      <c r="D221" s="2" t="str">
        <f t="shared" si="21"/>
        <v>男</v>
      </c>
      <c r="E221" s="2" t="str">
        <f>"202209042507"</f>
        <v>202209042507</v>
      </c>
      <c r="F221" s="4">
        <v>59.7</v>
      </c>
      <c r="G221" s="4">
        <v>74</v>
      </c>
      <c r="H221" s="4">
        <f t="shared" si="20"/>
        <v>68.28</v>
      </c>
      <c r="I221" s="5" t="s">
        <v>15</v>
      </c>
    </row>
    <row r="222" spans="1:9" ht="14.25">
      <c r="A222" s="4">
        <v>220</v>
      </c>
      <c r="B222" s="2" t="s">
        <v>23</v>
      </c>
      <c r="C222" s="2" t="str">
        <f>"黄宇琦"</f>
        <v>黄宇琦</v>
      </c>
      <c r="D222" s="2" t="str">
        <f t="shared" si="21"/>
        <v>男</v>
      </c>
      <c r="E222" s="2" t="str">
        <f>"202209042511"</f>
        <v>202209042511</v>
      </c>
      <c r="F222" s="4">
        <v>67.6</v>
      </c>
      <c r="G222" s="4">
        <v>68</v>
      </c>
      <c r="H222" s="4">
        <f t="shared" si="20"/>
        <v>67.84</v>
      </c>
      <c r="I222" s="5" t="s">
        <v>15</v>
      </c>
    </row>
    <row r="223" spans="1:9" ht="14.25">
      <c r="A223" s="4">
        <v>221</v>
      </c>
      <c r="B223" s="2" t="s">
        <v>23</v>
      </c>
      <c r="C223" s="2" t="str">
        <f>"张业晨"</f>
        <v>张业晨</v>
      </c>
      <c r="D223" s="2" t="str">
        <f>"女"</f>
        <v>女</v>
      </c>
      <c r="E223" s="2" t="str">
        <f>"202209043328"</f>
        <v>202209043328</v>
      </c>
      <c r="F223" s="4">
        <v>57.8</v>
      </c>
      <c r="G223" s="4">
        <v>74</v>
      </c>
      <c r="H223" s="4">
        <f t="shared" si="20"/>
        <v>67.52</v>
      </c>
      <c r="I223" s="5" t="s">
        <v>15</v>
      </c>
    </row>
    <row r="224" spans="1:9" ht="14.25">
      <c r="A224" s="4">
        <v>222</v>
      </c>
      <c r="B224" s="2" t="s">
        <v>23</v>
      </c>
      <c r="C224" s="2" t="str">
        <f>"马滢"</f>
        <v>马滢</v>
      </c>
      <c r="D224" s="2" t="str">
        <f>"女"</f>
        <v>女</v>
      </c>
      <c r="E224" s="2" t="str">
        <f>"202209042626"</f>
        <v>202209042626</v>
      </c>
      <c r="F224" s="4">
        <v>69.5</v>
      </c>
      <c r="G224" s="4">
        <v>65</v>
      </c>
      <c r="H224" s="4">
        <f t="shared" si="20"/>
        <v>66.8</v>
      </c>
      <c r="I224" s="5" t="s">
        <v>15</v>
      </c>
    </row>
    <row r="225" spans="1:9" ht="14.25">
      <c r="A225" s="4">
        <v>223</v>
      </c>
      <c r="B225" s="2" t="s">
        <v>23</v>
      </c>
      <c r="C225" s="2" t="str">
        <f>"时凯"</f>
        <v>时凯</v>
      </c>
      <c r="D225" s="2" t="str">
        <f>"男"</f>
        <v>男</v>
      </c>
      <c r="E225" s="2" t="str">
        <f>"202209042510"</f>
        <v>202209042510</v>
      </c>
      <c r="F225" s="4">
        <v>63.00000000000001</v>
      </c>
      <c r="G225" s="4">
        <v>69</v>
      </c>
      <c r="H225" s="4">
        <f t="shared" si="20"/>
        <v>66.6</v>
      </c>
      <c r="I225" s="5" t="s">
        <v>15</v>
      </c>
    </row>
    <row r="226" spans="1:9" ht="14.25">
      <c r="A226" s="4">
        <v>224</v>
      </c>
      <c r="B226" s="2" t="s">
        <v>23</v>
      </c>
      <c r="C226" s="2" t="str">
        <f>"解畅"</f>
        <v>解畅</v>
      </c>
      <c r="D226" s="2" t="str">
        <f>"女"</f>
        <v>女</v>
      </c>
      <c r="E226" s="2" t="str">
        <f>"202209043327"</f>
        <v>202209043327</v>
      </c>
      <c r="F226" s="4">
        <v>62.400000000000006</v>
      </c>
      <c r="G226" s="4">
        <v>69</v>
      </c>
      <c r="H226" s="4">
        <f t="shared" si="20"/>
        <v>66.36</v>
      </c>
      <c r="I226" s="5" t="s">
        <v>15</v>
      </c>
    </row>
    <row r="227" spans="1:9" ht="14.25">
      <c r="A227" s="4">
        <v>225</v>
      </c>
      <c r="B227" s="2" t="s">
        <v>23</v>
      </c>
      <c r="C227" s="2" t="str">
        <f>"郭磊磊"</f>
        <v>郭磊磊</v>
      </c>
      <c r="D227" s="2" t="str">
        <f>"男"</f>
        <v>男</v>
      </c>
      <c r="E227" s="2" t="str">
        <f>"202209043330"</f>
        <v>202209043330</v>
      </c>
      <c r="F227" s="4">
        <v>57.5</v>
      </c>
      <c r="G227" s="4">
        <v>72</v>
      </c>
      <c r="H227" s="4">
        <f t="shared" si="20"/>
        <v>66.19999999999999</v>
      </c>
      <c r="I227" s="5" t="s">
        <v>15</v>
      </c>
    </row>
    <row r="228" spans="1:9" ht="14.25">
      <c r="A228" s="4">
        <v>226</v>
      </c>
      <c r="B228" s="2" t="s">
        <v>23</v>
      </c>
      <c r="C228" s="2" t="str">
        <f>"魏玉阳"</f>
        <v>魏玉阳</v>
      </c>
      <c r="D228" s="2" t="str">
        <f>"男"</f>
        <v>男</v>
      </c>
      <c r="E228" s="2" t="str">
        <f>"202209042502"</f>
        <v>202209042502</v>
      </c>
      <c r="F228" s="4">
        <v>60.3</v>
      </c>
      <c r="G228" s="4">
        <v>69</v>
      </c>
      <c r="H228" s="4">
        <f t="shared" si="20"/>
        <v>65.52</v>
      </c>
      <c r="I228" s="5" t="s">
        <v>15</v>
      </c>
    </row>
    <row r="229" spans="1:9" ht="14.25">
      <c r="A229" s="4">
        <v>227</v>
      </c>
      <c r="B229" s="2" t="s">
        <v>23</v>
      </c>
      <c r="C229" s="2" t="str">
        <f>"马胜胜"</f>
        <v>马胜胜</v>
      </c>
      <c r="D229" s="2" t="str">
        <f>"男"</f>
        <v>男</v>
      </c>
      <c r="E229" s="2" t="str">
        <f>"202209042625"</f>
        <v>202209042625</v>
      </c>
      <c r="F229" s="4">
        <v>62.400000000000006</v>
      </c>
      <c r="G229" s="4">
        <v>67</v>
      </c>
      <c r="H229" s="4">
        <f t="shared" si="20"/>
        <v>65.16</v>
      </c>
      <c r="I229" s="5" t="s">
        <v>15</v>
      </c>
    </row>
    <row r="230" spans="1:9" ht="14.25">
      <c r="A230" s="4">
        <v>228</v>
      </c>
      <c r="B230" s="2" t="s">
        <v>24</v>
      </c>
      <c r="C230" s="2" t="str">
        <f>"崔肖肖"</f>
        <v>崔肖肖</v>
      </c>
      <c r="D230" s="2" t="str">
        <f>"女"</f>
        <v>女</v>
      </c>
      <c r="E230" s="2" t="str">
        <f>"202209042713"</f>
        <v>202209042713</v>
      </c>
      <c r="F230" s="4">
        <v>74.4</v>
      </c>
      <c r="G230" s="4">
        <v>89</v>
      </c>
      <c r="H230" s="4">
        <f aca="true" t="shared" si="22" ref="H230:H249">G230*0.6+F230*0.4</f>
        <v>83.16</v>
      </c>
      <c r="I230" s="5" t="s">
        <v>20</v>
      </c>
    </row>
    <row r="231" spans="1:9" ht="14.25">
      <c r="A231" s="4">
        <v>229</v>
      </c>
      <c r="B231" s="2" t="s">
        <v>24</v>
      </c>
      <c r="C231" s="2" t="str">
        <f>"刘晶晶"</f>
        <v>刘晶晶</v>
      </c>
      <c r="D231" s="2" t="str">
        <f>"女"</f>
        <v>女</v>
      </c>
      <c r="E231" s="2" t="str">
        <f>"202209042912"</f>
        <v>202209042912</v>
      </c>
      <c r="F231" s="4">
        <v>78.1</v>
      </c>
      <c r="G231" s="4">
        <v>83</v>
      </c>
      <c r="H231" s="4">
        <f t="shared" si="22"/>
        <v>81.03999999999999</v>
      </c>
      <c r="I231" s="5" t="s">
        <v>20</v>
      </c>
    </row>
    <row r="232" spans="1:9" ht="14.25">
      <c r="A232" s="4">
        <v>230</v>
      </c>
      <c r="B232" s="2" t="s">
        <v>24</v>
      </c>
      <c r="C232" s="2" t="str">
        <f>"万晓诗"</f>
        <v>万晓诗</v>
      </c>
      <c r="D232" s="2" t="str">
        <f>"女"</f>
        <v>女</v>
      </c>
      <c r="E232" s="2" t="str">
        <f>"202209042725"</f>
        <v>202209042725</v>
      </c>
      <c r="F232" s="4">
        <v>72.10000000000001</v>
      </c>
      <c r="G232" s="4">
        <v>85</v>
      </c>
      <c r="H232" s="4">
        <f t="shared" si="22"/>
        <v>79.84</v>
      </c>
      <c r="I232" s="5" t="s">
        <v>20</v>
      </c>
    </row>
    <row r="233" spans="1:9" ht="14.25">
      <c r="A233" s="4">
        <v>231</v>
      </c>
      <c r="B233" s="2" t="s">
        <v>24</v>
      </c>
      <c r="C233" s="2" t="str">
        <f>"黄灿"</f>
        <v>黄灿</v>
      </c>
      <c r="D233" s="2" t="str">
        <f>"男"</f>
        <v>男</v>
      </c>
      <c r="E233" s="2" t="str">
        <f>"202209042927"</f>
        <v>202209042927</v>
      </c>
      <c r="F233" s="4">
        <v>65.9</v>
      </c>
      <c r="G233" s="4">
        <v>89</v>
      </c>
      <c r="H233" s="4">
        <f t="shared" si="22"/>
        <v>79.76</v>
      </c>
      <c r="I233" s="5" t="s">
        <v>20</v>
      </c>
    </row>
    <row r="234" spans="1:9" ht="14.25">
      <c r="A234" s="4">
        <v>232</v>
      </c>
      <c r="B234" s="2" t="s">
        <v>24</v>
      </c>
      <c r="C234" s="2" t="str">
        <f>"张莉"</f>
        <v>张莉</v>
      </c>
      <c r="D234" s="2" t="str">
        <f aca="true" t="shared" si="23" ref="D234:D246">"女"</f>
        <v>女</v>
      </c>
      <c r="E234" s="2" t="str">
        <f>"202209042903"</f>
        <v>202209042903</v>
      </c>
      <c r="F234" s="4">
        <v>74.8</v>
      </c>
      <c r="G234" s="4">
        <v>83</v>
      </c>
      <c r="H234" s="4">
        <f t="shared" si="22"/>
        <v>79.72</v>
      </c>
      <c r="I234" s="5" t="s">
        <v>20</v>
      </c>
    </row>
    <row r="235" spans="1:9" ht="14.25">
      <c r="A235" s="4">
        <v>233</v>
      </c>
      <c r="B235" s="2" t="s">
        <v>24</v>
      </c>
      <c r="C235" s="2" t="str">
        <f>"王风雨"</f>
        <v>王风雨</v>
      </c>
      <c r="D235" s="2" t="str">
        <f t="shared" si="23"/>
        <v>女</v>
      </c>
      <c r="E235" s="2" t="str">
        <f>"202209042818"</f>
        <v>202209042818</v>
      </c>
      <c r="F235" s="4">
        <v>74.5</v>
      </c>
      <c r="G235" s="4">
        <v>83</v>
      </c>
      <c r="H235" s="4">
        <f t="shared" si="22"/>
        <v>79.6</v>
      </c>
      <c r="I235" s="5" t="s">
        <v>20</v>
      </c>
    </row>
    <row r="236" spans="1:9" ht="14.25">
      <c r="A236" s="4">
        <v>234</v>
      </c>
      <c r="B236" s="2" t="s">
        <v>24</v>
      </c>
      <c r="C236" s="2" t="str">
        <f>"陈婷"</f>
        <v>陈婷</v>
      </c>
      <c r="D236" s="2" t="str">
        <f t="shared" si="23"/>
        <v>女</v>
      </c>
      <c r="E236" s="2" t="str">
        <f>"202209042712"</f>
        <v>202209042712</v>
      </c>
      <c r="F236" s="4">
        <v>71.7</v>
      </c>
      <c r="G236" s="4">
        <v>82</v>
      </c>
      <c r="H236" s="4">
        <f t="shared" si="22"/>
        <v>77.88</v>
      </c>
      <c r="I236" s="5" t="s">
        <v>20</v>
      </c>
    </row>
    <row r="237" spans="1:9" ht="14.25">
      <c r="A237" s="4">
        <v>235</v>
      </c>
      <c r="B237" s="2" t="s">
        <v>24</v>
      </c>
      <c r="C237" s="2" t="str">
        <f>"盛祎"</f>
        <v>盛祎</v>
      </c>
      <c r="D237" s="2" t="str">
        <f t="shared" si="23"/>
        <v>女</v>
      </c>
      <c r="E237" s="2" t="str">
        <f>"202209042723"</f>
        <v>202209042723</v>
      </c>
      <c r="F237" s="4">
        <v>72.60000000000001</v>
      </c>
      <c r="G237" s="4">
        <v>80</v>
      </c>
      <c r="H237" s="4">
        <f t="shared" si="22"/>
        <v>77.04</v>
      </c>
      <c r="I237" s="5" t="s">
        <v>20</v>
      </c>
    </row>
    <row r="238" spans="1:9" ht="14.25">
      <c r="A238" s="4">
        <v>236</v>
      </c>
      <c r="B238" s="2" t="s">
        <v>24</v>
      </c>
      <c r="C238" s="2" t="str">
        <f>"穆楠楠"</f>
        <v>穆楠楠</v>
      </c>
      <c r="D238" s="2" t="str">
        <f t="shared" si="23"/>
        <v>女</v>
      </c>
      <c r="E238" s="2" t="str">
        <f>"202209042904"</f>
        <v>202209042904</v>
      </c>
      <c r="F238" s="4">
        <v>70.2</v>
      </c>
      <c r="G238" s="4">
        <v>80</v>
      </c>
      <c r="H238" s="4">
        <f t="shared" si="22"/>
        <v>76.08</v>
      </c>
      <c r="I238" s="5" t="s">
        <v>20</v>
      </c>
    </row>
    <row r="239" spans="1:9" ht="14.25">
      <c r="A239" s="4">
        <v>237</v>
      </c>
      <c r="B239" s="2" t="s">
        <v>24</v>
      </c>
      <c r="C239" s="2" t="str">
        <f>"李梦雪"</f>
        <v>李梦雪</v>
      </c>
      <c r="D239" s="2" t="str">
        <f t="shared" si="23"/>
        <v>女</v>
      </c>
      <c r="E239" s="2" t="str">
        <f>"202209042702"</f>
        <v>202209042702</v>
      </c>
      <c r="F239" s="4">
        <v>71.10000000000001</v>
      </c>
      <c r="G239" s="4">
        <v>79</v>
      </c>
      <c r="H239" s="4">
        <f t="shared" si="22"/>
        <v>75.84</v>
      </c>
      <c r="I239" s="5" t="s">
        <v>20</v>
      </c>
    </row>
    <row r="240" spans="1:9" ht="14.25">
      <c r="A240" s="4">
        <v>238</v>
      </c>
      <c r="B240" s="2" t="s">
        <v>24</v>
      </c>
      <c r="C240" s="2" t="str">
        <f>"朱倩倩"</f>
        <v>朱倩倩</v>
      </c>
      <c r="D240" s="2" t="str">
        <f t="shared" si="23"/>
        <v>女</v>
      </c>
      <c r="E240" s="2" t="str">
        <f>"202209042922"</f>
        <v>202209042922</v>
      </c>
      <c r="F240" s="4">
        <v>79.2</v>
      </c>
      <c r="G240" s="4">
        <v>73</v>
      </c>
      <c r="H240" s="4">
        <f t="shared" si="22"/>
        <v>75.48</v>
      </c>
      <c r="I240" s="5" t="s">
        <v>20</v>
      </c>
    </row>
    <row r="241" spans="1:9" ht="14.25">
      <c r="A241" s="4">
        <v>239</v>
      </c>
      <c r="B241" s="2" t="s">
        <v>24</v>
      </c>
      <c r="C241" s="2" t="str">
        <f>"徐静茹"</f>
        <v>徐静茹</v>
      </c>
      <c r="D241" s="2" t="str">
        <f t="shared" si="23"/>
        <v>女</v>
      </c>
      <c r="E241" s="2" t="str">
        <f>"202209042930"</f>
        <v>202209042930</v>
      </c>
      <c r="F241" s="4">
        <v>72.8</v>
      </c>
      <c r="G241" s="4">
        <v>77</v>
      </c>
      <c r="H241" s="4">
        <f t="shared" si="22"/>
        <v>75.32</v>
      </c>
      <c r="I241" s="5" t="s">
        <v>20</v>
      </c>
    </row>
    <row r="242" spans="1:9" ht="14.25">
      <c r="A242" s="4">
        <v>240</v>
      </c>
      <c r="B242" s="2" t="s">
        <v>25</v>
      </c>
      <c r="C242" s="2" t="str">
        <f>"李加勤"</f>
        <v>李加勤</v>
      </c>
      <c r="D242" s="2" t="str">
        <f t="shared" si="23"/>
        <v>女</v>
      </c>
      <c r="E242" s="2" t="str">
        <f>"202209043506"</f>
        <v>202209043506</v>
      </c>
      <c r="F242" s="4">
        <v>79.7</v>
      </c>
      <c r="G242" s="4">
        <v>66</v>
      </c>
      <c r="H242" s="4">
        <f t="shared" si="22"/>
        <v>71.48</v>
      </c>
      <c r="I242" s="5" t="s">
        <v>20</v>
      </c>
    </row>
    <row r="243" spans="1:9" ht="14.25">
      <c r="A243" s="4">
        <v>241</v>
      </c>
      <c r="B243" s="2" t="s">
        <v>25</v>
      </c>
      <c r="C243" s="2" t="str">
        <f>"张金柳"</f>
        <v>张金柳</v>
      </c>
      <c r="D243" s="2" t="str">
        <f t="shared" si="23"/>
        <v>女</v>
      </c>
      <c r="E243" s="2" t="str">
        <f>"202209043501"</f>
        <v>202209043501</v>
      </c>
      <c r="F243" s="4">
        <v>66.9</v>
      </c>
      <c r="G243" s="4">
        <v>67</v>
      </c>
      <c r="H243" s="4">
        <f t="shared" si="22"/>
        <v>66.96000000000001</v>
      </c>
      <c r="I243" s="5" t="s">
        <v>20</v>
      </c>
    </row>
    <row r="244" spans="1:9" ht="14.25">
      <c r="A244" s="4">
        <v>242</v>
      </c>
      <c r="B244" s="2" t="s">
        <v>26</v>
      </c>
      <c r="C244" s="2" t="str">
        <f>"王茹"</f>
        <v>王茹</v>
      </c>
      <c r="D244" s="2" t="str">
        <f t="shared" si="23"/>
        <v>女</v>
      </c>
      <c r="E244" s="2" t="str">
        <f>"202209043514"</f>
        <v>202209043514</v>
      </c>
      <c r="F244" s="4">
        <v>84.4</v>
      </c>
      <c r="G244" s="4">
        <v>76</v>
      </c>
      <c r="H244" s="4">
        <f t="shared" si="22"/>
        <v>79.36000000000001</v>
      </c>
      <c r="I244" s="5" t="s">
        <v>20</v>
      </c>
    </row>
    <row r="245" spans="1:9" ht="14.25">
      <c r="A245" s="4">
        <v>243</v>
      </c>
      <c r="B245" s="2" t="s">
        <v>26</v>
      </c>
      <c r="C245" s="2" t="str">
        <f>"范冰冰"</f>
        <v>范冰冰</v>
      </c>
      <c r="D245" s="2" t="str">
        <f t="shared" si="23"/>
        <v>女</v>
      </c>
      <c r="E245" s="2" t="str">
        <f>"202209043521"</f>
        <v>202209043521</v>
      </c>
      <c r="F245" s="4">
        <v>77.10000000000001</v>
      </c>
      <c r="G245" s="4">
        <v>69</v>
      </c>
      <c r="H245" s="4">
        <f t="shared" si="22"/>
        <v>72.24000000000001</v>
      </c>
      <c r="I245" s="5" t="s">
        <v>20</v>
      </c>
    </row>
    <row r="246" spans="1:9" ht="14.25">
      <c r="A246" s="4">
        <v>244</v>
      </c>
      <c r="B246" s="2" t="s">
        <v>26</v>
      </c>
      <c r="C246" s="2" t="str">
        <f>"赵欣缘"</f>
        <v>赵欣缘</v>
      </c>
      <c r="D246" s="2" t="str">
        <f t="shared" si="23"/>
        <v>女</v>
      </c>
      <c r="E246" s="2" t="str">
        <f>"202209043516"</f>
        <v>202209043516</v>
      </c>
      <c r="F246" s="4">
        <v>66.7</v>
      </c>
      <c r="G246" s="4">
        <v>73</v>
      </c>
      <c r="H246" s="4">
        <f t="shared" si="22"/>
        <v>70.48</v>
      </c>
      <c r="I246" s="5" t="s">
        <v>20</v>
      </c>
    </row>
    <row r="247" spans="1:9" ht="14.25">
      <c r="A247" s="4">
        <v>245</v>
      </c>
      <c r="B247" s="2" t="s">
        <v>26</v>
      </c>
      <c r="C247" s="2" t="str">
        <f>"周航"</f>
        <v>周航</v>
      </c>
      <c r="D247" s="2" t="str">
        <f>"男"</f>
        <v>男</v>
      </c>
      <c r="E247" s="2" t="str">
        <f>"202209043509"</f>
        <v>202209043509</v>
      </c>
      <c r="F247" s="4">
        <v>74.2</v>
      </c>
      <c r="G247" s="4">
        <v>68</v>
      </c>
      <c r="H247" s="4">
        <f t="shared" si="22"/>
        <v>70.48</v>
      </c>
      <c r="I247" s="5" t="s">
        <v>20</v>
      </c>
    </row>
    <row r="248" spans="1:9" ht="14.25">
      <c r="A248" s="4">
        <v>246</v>
      </c>
      <c r="B248" s="2" t="s">
        <v>26</v>
      </c>
      <c r="C248" s="2" t="str">
        <f>"牛晓慧"</f>
        <v>牛晓慧</v>
      </c>
      <c r="D248" s="2" t="str">
        <f>"女"</f>
        <v>女</v>
      </c>
      <c r="E248" s="2" t="str">
        <f>"202209043511"</f>
        <v>202209043511</v>
      </c>
      <c r="F248" s="4">
        <v>66.9</v>
      </c>
      <c r="G248" s="4">
        <v>65</v>
      </c>
      <c r="H248" s="4">
        <f t="shared" si="22"/>
        <v>65.76</v>
      </c>
      <c r="I248" s="5" t="s">
        <v>20</v>
      </c>
    </row>
    <row r="249" spans="1:9" ht="14.25">
      <c r="A249" s="4">
        <v>247</v>
      </c>
      <c r="B249" s="2" t="s">
        <v>26</v>
      </c>
      <c r="C249" s="2" t="str">
        <f>"祝瑶瑶"</f>
        <v>祝瑶瑶</v>
      </c>
      <c r="D249" s="2" t="str">
        <f>"女"</f>
        <v>女</v>
      </c>
      <c r="E249" s="2" t="str">
        <f>"202209043515"</f>
        <v>202209043515</v>
      </c>
      <c r="F249" s="4">
        <v>63.8</v>
      </c>
      <c r="G249" s="4">
        <v>65</v>
      </c>
      <c r="H249" s="4">
        <f t="shared" si="22"/>
        <v>64.52</v>
      </c>
      <c r="I249" s="5" t="s">
        <v>20</v>
      </c>
    </row>
    <row r="250" spans="1:9" ht="14.25">
      <c r="A250" s="4">
        <v>248</v>
      </c>
      <c r="B250" s="2" t="s">
        <v>27</v>
      </c>
      <c r="C250" s="2" t="str">
        <f>"任晓蝶"</f>
        <v>任晓蝶</v>
      </c>
      <c r="D250" s="2" t="str">
        <f>"女"</f>
        <v>女</v>
      </c>
      <c r="E250" s="2" t="str">
        <f>"202209043602"</f>
        <v>202209043602</v>
      </c>
      <c r="F250" s="4">
        <v>78.4</v>
      </c>
      <c r="G250" s="4">
        <v>79</v>
      </c>
      <c r="H250" s="4">
        <f aca="true" t="shared" si="24" ref="H250:H301">G250*0.6+F250*0.4</f>
        <v>78.76</v>
      </c>
      <c r="I250" s="5" t="s">
        <v>28</v>
      </c>
    </row>
    <row r="251" spans="1:9" ht="14.25">
      <c r="A251" s="4">
        <v>249</v>
      </c>
      <c r="B251" s="2" t="s">
        <v>27</v>
      </c>
      <c r="C251" s="2" t="str">
        <f>"管倩倩"</f>
        <v>管倩倩</v>
      </c>
      <c r="D251" s="2" t="str">
        <f>"女"</f>
        <v>女</v>
      </c>
      <c r="E251" s="2" t="str">
        <f>"202209043625"</f>
        <v>202209043625</v>
      </c>
      <c r="F251" s="4">
        <v>82.6</v>
      </c>
      <c r="G251" s="4">
        <v>76</v>
      </c>
      <c r="H251" s="4">
        <f t="shared" si="24"/>
        <v>78.64</v>
      </c>
      <c r="I251" s="5" t="s">
        <v>28</v>
      </c>
    </row>
    <row r="252" spans="1:9" ht="14.25">
      <c r="A252" s="4">
        <v>250</v>
      </c>
      <c r="B252" s="2" t="s">
        <v>27</v>
      </c>
      <c r="C252" s="2" t="str">
        <f>"邵璨璨"</f>
        <v>邵璨璨</v>
      </c>
      <c r="D252" s="2" t="str">
        <f>"男"</f>
        <v>男</v>
      </c>
      <c r="E252" s="2" t="str">
        <f>"202209043603"</f>
        <v>202209043603</v>
      </c>
      <c r="F252" s="4">
        <v>84.80000000000001</v>
      </c>
      <c r="G252" s="4">
        <v>74</v>
      </c>
      <c r="H252" s="4">
        <f t="shared" si="24"/>
        <v>78.32000000000001</v>
      </c>
      <c r="I252" s="5" t="s">
        <v>28</v>
      </c>
    </row>
    <row r="253" spans="1:9" ht="14.25">
      <c r="A253" s="4">
        <v>251</v>
      </c>
      <c r="B253" s="2" t="s">
        <v>27</v>
      </c>
      <c r="C253" s="2" t="str">
        <f>"陈琪"</f>
        <v>陈琪</v>
      </c>
      <c r="D253" s="2" t="str">
        <f>"女"</f>
        <v>女</v>
      </c>
      <c r="E253" s="2" t="str">
        <f>"202209043610"</f>
        <v>202209043610</v>
      </c>
      <c r="F253" s="4">
        <v>72.2</v>
      </c>
      <c r="G253" s="4">
        <v>82</v>
      </c>
      <c r="H253" s="4">
        <f t="shared" si="24"/>
        <v>78.08</v>
      </c>
      <c r="I253" s="5" t="s">
        <v>28</v>
      </c>
    </row>
    <row r="254" spans="1:9" ht="14.25">
      <c r="A254" s="4">
        <v>252</v>
      </c>
      <c r="B254" s="2" t="s">
        <v>27</v>
      </c>
      <c r="C254" s="2" t="str">
        <f>"张炯"</f>
        <v>张炯</v>
      </c>
      <c r="D254" s="2" t="str">
        <f>"男"</f>
        <v>男</v>
      </c>
      <c r="E254" s="2" t="str">
        <f>"202209043612"</f>
        <v>202209043612</v>
      </c>
      <c r="F254" s="4">
        <v>80.1</v>
      </c>
      <c r="G254" s="4">
        <v>74</v>
      </c>
      <c r="H254" s="4">
        <f t="shared" si="24"/>
        <v>76.44</v>
      </c>
      <c r="I254" s="5" t="s">
        <v>28</v>
      </c>
    </row>
    <row r="255" spans="1:9" ht="14.25">
      <c r="A255" s="4">
        <v>253</v>
      </c>
      <c r="B255" s="2" t="s">
        <v>27</v>
      </c>
      <c r="C255" s="2" t="str">
        <f>"刘杰"</f>
        <v>刘杰</v>
      </c>
      <c r="D255" s="2" t="str">
        <f aca="true" t="shared" si="25" ref="D255:D265">"女"</f>
        <v>女</v>
      </c>
      <c r="E255" s="2" t="str">
        <f>"202209043617"</f>
        <v>202209043617</v>
      </c>
      <c r="F255" s="4">
        <v>76</v>
      </c>
      <c r="G255" s="4">
        <v>75</v>
      </c>
      <c r="H255" s="4">
        <f t="shared" si="24"/>
        <v>75.4</v>
      </c>
      <c r="I255" s="5" t="s">
        <v>28</v>
      </c>
    </row>
    <row r="256" spans="1:9" ht="14.25">
      <c r="A256" s="4">
        <v>254</v>
      </c>
      <c r="B256" s="2" t="s">
        <v>27</v>
      </c>
      <c r="C256" s="2" t="str">
        <f>"吴雪婷"</f>
        <v>吴雪婷</v>
      </c>
      <c r="D256" s="2" t="str">
        <f t="shared" si="25"/>
        <v>女</v>
      </c>
      <c r="E256" s="2" t="str">
        <f>"202209044203"</f>
        <v>202209044203</v>
      </c>
      <c r="F256" s="4">
        <v>77.10000000000001</v>
      </c>
      <c r="G256" s="4">
        <v>73</v>
      </c>
      <c r="H256" s="4">
        <f t="shared" si="24"/>
        <v>74.64</v>
      </c>
      <c r="I256" s="5" t="s">
        <v>28</v>
      </c>
    </row>
    <row r="257" spans="1:9" ht="14.25">
      <c r="A257" s="4">
        <v>255</v>
      </c>
      <c r="B257" s="2" t="s">
        <v>27</v>
      </c>
      <c r="C257" s="2" t="str">
        <f>"池雨雨"</f>
        <v>池雨雨</v>
      </c>
      <c r="D257" s="2" t="str">
        <f t="shared" si="25"/>
        <v>女</v>
      </c>
      <c r="E257" s="2" t="str">
        <f>"202209043624"</f>
        <v>202209043624</v>
      </c>
      <c r="F257" s="4">
        <v>79.10000000000001</v>
      </c>
      <c r="G257" s="4">
        <v>71</v>
      </c>
      <c r="H257" s="4">
        <f t="shared" si="24"/>
        <v>74.24000000000001</v>
      </c>
      <c r="I257" s="5" t="s">
        <v>28</v>
      </c>
    </row>
    <row r="258" spans="1:9" ht="14.25">
      <c r="A258" s="4">
        <v>256</v>
      </c>
      <c r="B258" s="2" t="s">
        <v>27</v>
      </c>
      <c r="C258" s="2" t="str">
        <f>"李梦庭"</f>
        <v>李梦庭</v>
      </c>
      <c r="D258" s="2" t="str">
        <f t="shared" si="25"/>
        <v>女</v>
      </c>
      <c r="E258" s="2" t="str">
        <f>"202209044205"</f>
        <v>202209044205</v>
      </c>
      <c r="F258" s="4">
        <v>79.7</v>
      </c>
      <c r="G258" s="4">
        <v>69</v>
      </c>
      <c r="H258" s="4">
        <f t="shared" si="24"/>
        <v>73.28</v>
      </c>
      <c r="I258" s="5" t="s">
        <v>28</v>
      </c>
    </row>
    <row r="259" spans="1:9" ht="14.25">
      <c r="A259" s="4">
        <v>257</v>
      </c>
      <c r="B259" s="2" t="s">
        <v>27</v>
      </c>
      <c r="C259" s="2" t="str">
        <f>"冯梦琪"</f>
        <v>冯梦琪</v>
      </c>
      <c r="D259" s="2" t="str">
        <f t="shared" si="25"/>
        <v>女</v>
      </c>
      <c r="E259" s="2" t="str">
        <f>"202209043620"</f>
        <v>202209043620</v>
      </c>
      <c r="F259" s="4">
        <v>64.1</v>
      </c>
      <c r="G259" s="4">
        <v>79</v>
      </c>
      <c r="H259" s="4">
        <f t="shared" si="24"/>
        <v>73.03999999999999</v>
      </c>
      <c r="I259" s="5" t="s">
        <v>28</v>
      </c>
    </row>
    <row r="260" spans="1:9" ht="14.25">
      <c r="A260" s="4">
        <v>258</v>
      </c>
      <c r="B260" s="2" t="s">
        <v>27</v>
      </c>
      <c r="C260" s="2" t="str">
        <f>"刘亭亭"</f>
        <v>刘亭亭</v>
      </c>
      <c r="D260" s="2" t="str">
        <f t="shared" si="25"/>
        <v>女</v>
      </c>
      <c r="E260" s="2" t="str">
        <f>"202209044207"</f>
        <v>202209044207</v>
      </c>
      <c r="F260" s="4">
        <v>78.7</v>
      </c>
      <c r="G260" s="4">
        <v>69</v>
      </c>
      <c r="H260" s="4">
        <f t="shared" si="24"/>
        <v>72.88</v>
      </c>
      <c r="I260" s="5" t="s">
        <v>28</v>
      </c>
    </row>
    <row r="261" spans="1:9" ht="14.25">
      <c r="A261" s="4">
        <v>259</v>
      </c>
      <c r="B261" s="2" t="s">
        <v>27</v>
      </c>
      <c r="C261" s="2" t="str">
        <f>"林雪"</f>
        <v>林雪</v>
      </c>
      <c r="D261" s="2" t="str">
        <f t="shared" si="25"/>
        <v>女</v>
      </c>
      <c r="E261" s="2" t="str">
        <f>"202209043607"</f>
        <v>202209043607</v>
      </c>
      <c r="F261" s="4">
        <v>72.4</v>
      </c>
      <c r="G261" s="4">
        <v>72</v>
      </c>
      <c r="H261" s="4">
        <f t="shared" si="24"/>
        <v>72.16</v>
      </c>
      <c r="I261" s="5" t="s">
        <v>28</v>
      </c>
    </row>
    <row r="262" spans="1:9" ht="14.25">
      <c r="A262" s="4">
        <v>260</v>
      </c>
      <c r="B262" s="2" t="s">
        <v>27</v>
      </c>
      <c r="C262" s="2" t="str">
        <f>"郭苗苗"</f>
        <v>郭苗苗</v>
      </c>
      <c r="D262" s="2" t="str">
        <f t="shared" si="25"/>
        <v>女</v>
      </c>
      <c r="E262" s="2" t="str">
        <f>"202209043608"</f>
        <v>202209043608</v>
      </c>
      <c r="F262" s="4">
        <v>73.2</v>
      </c>
      <c r="G262" s="4">
        <v>70</v>
      </c>
      <c r="H262" s="4">
        <f t="shared" si="24"/>
        <v>71.28</v>
      </c>
      <c r="I262" s="5" t="s">
        <v>28</v>
      </c>
    </row>
    <row r="263" spans="1:9" ht="14.25">
      <c r="A263" s="4">
        <v>261</v>
      </c>
      <c r="B263" s="2" t="s">
        <v>27</v>
      </c>
      <c r="C263" s="2" t="str">
        <f>"陈迎香"</f>
        <v>陈迎香</v>
      </c>
      <c r="D263" s="2" t="str">
        <f t="shared" si="25"/>
        <v>女</v>
      </c>
      <c r="E263" s="2" t="str">
        <f>"202209044202"</f>
        <v>202209044202</v>
      </c>
      <c r="F263" s="4">
        <v>67.1</v>
      </c>
      <c r="G263" s="4">
        <v>69</v>
      </c>
      <c r="H263" s="4">
        <f t="shared" si="24"/>
        <v>68.24</v>
      </c>
      <c r="I263" s="5" t="s">
        <v>28</v>
      </c>
    </row>
    <row r="264" spans="1:9" ht="14.25">
      <c r="A264" s="4">
        <v>262</v>
      </c>
      <c r="B264" s="2" t="s">
        <v>27</v>
      </c>
      <c r="C264" s="2" t="str">
        <f>"李琼"</f>
        <v>李琼</v>
      </c>
      <c r="D264" s="2" t="str">
        <f t="shared" si="25"/>
        <v>女</v>
      </c>
      <c r="E264" s="2" t="str">
        <f>"202209043605"</f>
        <v>202209043605</v>
      </c>
      <c r="F264" s="4">
        <v>73</v>
      </c>
      <c r="G264" s="4">
        <v>65</v>
      </c>
      <c r="H264" s="4">
        <f t="shared" si="24"/>
        <v>68.2</v>
      </c>
      <c r="I264" s="5" t="s">
        <v>28</v>
      </c>
    </row>
    <row r="265" spans="1:9" ht="14.25">
      <c r="A265" s="4">
        <v>263</v>
      </c>
      <c r="B265" s="2" t="s">
        <v>27</v>
      </c>
      <c r="C265" s="2" t="str">
        <f>"聂鑫鑫"</f>
        <v>聂鑫鑫</v>
      </c>
      <c r="D265" s="2" t="str">
        <f t="shared" si="25"/>
        <v>女</v>
      </c>
      <c r="E265" s="2" t="str">
        <f>"202209043618"</f>
        <v>202209043618</v>
      </c>
      <c r="F265" s="4">
        <v>70.30000000000001</v>
      </c>
      <c r="G265" s="4">
        <v>66</v>
      </c>
      <c r="H265" s="4">
        <f t="shared" si="24"/>
        <v>67.72</v>
      </c>
      <c r="I265" s="5" t="s">
        <v>28</v>
      </c>
    </row>
    <row r="266" spans="1:9" ht="14.25">
      <c r="A266" s="4">
        <v>264</v>
      </c>
      <c r="B266" s="2" t="s">
        <v>27</v>
      </c>
      <c r="C266" s="2" t="str">
        <f>"张帅"</f>
        <v>张帅</v>
      </c>
      <c r="D266" s="2" t="str">
        <f>"男"</f>
        <v>男</v>
      </c>
      <c r="E266" s="2" t="str">
        <f>"202209044211"</f>
        <v>202209044211</v>
      </c>
      <c r="F266" s="4">
        <v>62.3</v>
      </c>
      <c r="G266" s="4">
        <v>71</v>
      </c>
      <c r="H266" s="4">
        <f t="shared" si="24"/>
        <v>67.52000000000001</v>
      </c>
      <c r="I266" s="5" t="s">
        <v>28</v>
      </c>
    </row>
    <row r="267" spans="1:9" ht="14.25">
      <c r="A267" s="4">
        <v>265</v>
      </c>
      <c r="B267" s="2" t="s">
        <v>27</v>
      </c>
      <c r="C267" s="2" t="str">
        <f>"蔡雪红"</f>
        <v>蔡雪红</v>
      </c>
      <c r="D267" s="2" t="str">
        <f aca="true" t="shared" si="26" ref="D267:D274">"女"</f>
        <v>女</v>
      </c>
      <c r="E267" s="2" t="str">
        <f>"202209044201"</f>
        <v>202209044201</v>
      </c>
      <c r="F267" s="4">
        <v>77.30000000000001</v>
      </c>
      <c r="G267" s="4">
        <v>61</v>
      </c>
      <c r="H267" s="4">
        <f t="shared" si="24"/>
        <v>67.52000000000001</v>
      </c>
      <c r="I267" s="5" t="s">
        <v>28</v>
      </c>
    </row>
    <row r="268" spans="1:9" ht="14.25">
      <c r="A268" s="4">
        <v>266</v>
      </c>
      <c r="B268" s="2" t="s">
        <v>27</v>
      </c>
      <c r="C268" s="2" t="str">
        <f>"孙雅馨"</f>
        <v>孙雅馨</v>
      </c>
      <c r="D268" s="2" t="str">
        <f t="shared" si="26"/>
        <v>女</v>
      </c>
      <c r="E268" s="2" t="str">
        <f>"202209044212"</f>
        <v>202209044212</v>
      </c>
      <c r="F268" s="4">
        <v>63.5</v>
      </c>
      <c r="G268" s="4">
        <v>69</v>
      </c>
      <c r="H268" s="4">
        <f t="shared" si="24"/>
        <v>66.8</v>
      </c>
      <c r="I268" s="5" t="s">
        <v>28</v>
      </c>
    </row>
    <row r="269" spans="1:9" ht="14.25">
      <c r="A269" s="4">
        <v>267</v>
      </c>
      <c r="B269" s="2" t="s">
        <v>27</v>
      </c>
      <c r="C269" s="2" t="str">
        <f>"赵静娴"</f>
        <v>赵静娴</v>
      </c>
      <c r="D269" s="2" t="str">
        <f t="shared" si="26"/>
        <v>女</v>
      </c>
      <c r="E269" s="2" t="str">
        <f>"202209043614"</f>
        <v>202209043614</v>
      </c>
      <c r="F269" s="4">
        <v>62.1</v>
      </c>
      <c r="G269" s="4">
        <v>69</v>
      </c>
      <c r="H269" s="4">
        <f t="shared" si="24"/>
        <v>66.24000000000001</v>
      </c>
      <c r="I269" s="5" t="s">
        <v>28</v>
      </c>
    </row>
    <row r="270" spans="1:9" ht="14.25">
      <c r="A270" s="4">
        <v>268</v>
      </c>
      <c r="B270" s="2" t="s">
        <v>27</v>
      </c>
      <c r="C270" s="2" t="str">
        <f>"韩勤勤"</f>
        <v>韩勤勤</v>
      </c>
      <c r="D270" s="2" t="str">
        <f t="shared" si="26"/>
        <v>女</v>
      </c>
      <c r="E270" s="2" t="str">
        <f>"202209043623"</f>
        <v>202209043623</v>
      </c>
      <c r="F270" s="4">
        <v>72.4</v>
      </c>
      <c r="G270" s="4">
        <v>61</v>
      </c>
      <c r="H270" s="4">
        <f t="shared" si="24"/>
        <v>65.56</v>
      </c>
      <c r="I270" s="5" t="s">
        <v>28</v>
      </c>
    </row>
    <row r="271" spans="1:9" ht="14.25">
      <c r="A271" s="4">
        <v>269</v>
      </c>
      <c r="B271" s="2" t="s">
        <v>27</v>
      </c>
      <c r="C271" s="2" t="str">
        <f>"林慧慧"</f>
        <v>林慧慧</v>
      </c>
      <c r="D271" s="2" t="str">
        <f t="shared" si="26"/>
        <v>女</v>
      </c>
      <c r="E271" s="2" t="str">
        <f>"202209043609"</f>
        <v>202209043609</v>
      </c>
      <c r="F271" s="4">
        <v>63.1</v>
      </c>
      <c r="G271" s="4">
        <v>67</v>
      </c>
      <c r="H271" s="4">
        <f t="shared" si="24"/>
        <v>65.44</v>
      </c>
      <c r="I271" s="5" t="s">
        <v>28</v>
      </c>
    </row>
    <row r="272" spans="1:9" ht="14.25">
      <c r="A272" s="4">
        <v>270</v>
      </c>
      <c r="B272" s="2" t="s">
        <v>29</v>
      </c>
      <c r="C272" s="2" t="str">
        <f>"周平平"</f>
        <v>周平平</v>
      </c>
      <c r="D272" s="2" t="str">
        <f t="shared" si="26"/>
        <v>女</v>
      </c>
      <c r="E272" s="2" t="str">
        <f>"202209043728"</f>
        <v>202209043728</v>
      </c>
      <c r="F272" s="4">
        <v>78.2</v>
      </c>
      <c r="G272" s="4">
        <v>99</v>
      </c>
      <c r="H272" s="4">
        <f t="shared" si="24"/>
        <v>90.68</v>
      </c>
      <c r="I272" s="5" t="s">
        <v>28</v>
      </c>
    </row>
    <row r="273" spans="1:9" ht="14.25">
      <c r="A273" s="4">
        <v>271</v>
      </c>
      <c r="B273" s="2" t="s">
        <v>29</v>
      </c>
      <c r="C273" s="2" t="str">
        <f>"邹梅梅"</f>
        <v>邹梅梅</v>
      </c>
      <c r="D273" s="2" t="str">
        <f t="shared" si="26"/>
        <v>女</v>
      </c>
      <c r="E273" s="2" t="str">
        <f>"202209043815"</f>
        <v>202209043815</v>
      </c>
      <c r="F273" s="4">
        <v>83.1</v>
      </c>
      <c r="G273" s="4">
        <v>93</v>
      </c>
      <c r="H273" s="4">
        <f t="shared" si="24"/>
        <v>89.03999999999999</v>
      </c>
      <c r="I273" s="5" t="s">
        <v>28</v>
      </c>
    </row>
    <row r="274" spans="1:9" ht="14.25">
      <c r="A274" s="4">
        <v>272</v>
      </c>
      <c r="B274" s="2" t="s">
        <v>29</v>
      </c>
      <c r="C274" s="2" t="str">
        <f>"李娜"</f>
        <v>李娜</v>
      </c>
      <c r="D274" s="2" t="str">
        <f t="shared" si="26"/>
        <v>女</v>
      </c>
      <c r="E274" s="2" t="str">
        <f>"202209043705"</f>
        <v>202209043705</v>
      </c>
      <c r="F274" s="4">
        <v>77.3</v>
      </c>
      <c r="G274" s="4">
        <v>89</v>
      </c>
      <c r="H274" s="4">
        <f t="shared" si="24"/>
        <v>84.32</v>
      </c>
      <c r="I274" s="5" t="s">
        <v>28</v>
      </c>
    </row>
    <row r="275" spans="1:9" ht="14.25">
      <c r="A275" s="4">
        <v>273</v>
      </c>
      <c r="B275" s="2" t="s">
        <v>29</v>
      </c>
      <c r="C275" s="2" t="str">
        <f>"沈伟伟"</f>
        <v>沈伟伟</v>
      </c>
      <c r="D275" s="2" t="str">
        <f>"男"</f>
        <v>男</v>
      </c>
      <c r="E275" s="2" t="str">
        <f>"202209043710"</f>
        <v>202209043710</v>
      </c>
      <c r="F275" s="4">
        <v>71.5</v>
      </c>
      <c r="G275" s="4">
        <v>92</v>
      </c>
      <c r="H275" s="4">
        <f t="shared" si="24"/>
        <v>83.8</v>
      </c>
      <c r="I275" s="5" t="s">
        <v>28</v>
      </c>
    </row>
    <row r="276" spans="1:9" ht="14.25">
      <c r="A276" s="4">
        <v>274</v>
      </c>
      <c r="B276" s="2" t="s">
        <v>29</v>
      </c>
      <c r="C276" s="2" t="str">
        <f>"陈曦"</f>
        <v>陈曦</v>
      </c>
      <c r="D276" s="2" t="str">
        <f>"女"</f>
        <v>女</v>
      </c>
      <c r="E276" s="2" t="str">
        <f>"202209043719"</f>
        <v>202209043719</v>
      </c>
      <c r="F276" s="4">
        <v>75.10000000000001</v>
      </c>
      <c r="G276" s="4">
        <v>89</v>
      </c>
      <c r="H276" s="4">
        <f t="shared" si="24"/>
        <v>83.44</v>
      </c>
      <c r="I276" s="5" t="s">
        <v>28</v>
      </c>
    </row>
    <row r="277" spans="1:9" ht="14.25">
      <c r="A277" s="4">
        <v>275</v>
      </c>
      <c r="B277" s="2" t="s">
        <v>29</v>
      </c>
      <c r="C277" s="2" t="str">
        <f>"沈玉琪"</f>
        <v>沈玉琪</v>
      </c>
      <c r="D277" s="2" t="str">
        <f>"女"</f>
        <v>女</v>
      </c>
      <c r="E277" s="2" t="str">
        <f>"202209043712"</f>
        <v>202209043712</v>
      </c>
      <c r="F277" s="4">
        <v>76.1</v>
      </c>
      <c r="G277" s="4">
        <v>86</v>
      </c>
      <c r="H277" s="4">
        <f t="shared" si="24"/>
        <v>82.03999999999999</v>
      </c>
      <c r="I277" s="5" t="s">
        <v>28</v>
      </c>
    </row>
    <row r="278" spans="1:9" ht="14.25">
      <c r="A278" s="4">
        <v>276</v>
      </c>
      <c r="B278" s="2" t="s">
        <v>29</v>
      </c>
      <c r="C278" s="2" t="str">
        <f>"程卧龙"</f>
        <v>程卧龙</v>
      </c>
      <c r="D278" s="2" t="str">
        <f>"男"</f>
        <v>男</v>
      </c>
      <c r="E278" s="2" t="str">
        <f>"202209043709"</f>
        <v>202209043709</v>
      </c>
      <c r="F278" s="4">
        <v>73.5</v>
      </c>
      <c r="G278" s="4">
        <v>86</v>
      </c>
      <c r="H278" s="4">
        <f t="shared" si="24"/>
        <v>81</v>
      </c>
      <c r="I278" s="5" t="s">
        <v>28</v>
      </c>
    </row>
    <row r="279" spans="1:9" ht="14.25">
      <c r="A279" s="4">
        <v>277</v>
      </c>
      <c r="B279" s="2" t="s">
        <v>29</v>
      </c>
      <c r="C279" s="2" t="str">
        <f>"张春春"</f>
        <v>张春春</v>
      </c>
      <c r="D279" s="2" t="str">
        <f>"女"</f>
        <v>女</v>
      </c>
      <c r="E279" s="2" t="str">
        <f>"202209043804"</f>
        <v>202209043804</v>
      </c>
      <c r="F279" s="4">
        <v>77.30000000000001</v>
      </c>
      <c r="G279" s="4">
        <v>82</v>
      </c>
      <c r="H279" s="4">
        <f t="shared" si="24"/>
        <v>80.12</v>
      </c>
      <c r="I279" s="5" t="s">
        <v>28</v>
      </c>
    </row>
    <row r="280" spans="1:9" ht="14.25">
      <c r="A280" s="4">
        <v>278</v>
      </c>
      <c r="B280" s="2" t="s">
        <v>29</v>
      </c>
      <c r="C280" s="2" t="str">
        <f>"王雪侠"</f>
        <v>王雪侠</v>
      </c>
      <c r="D280" s="2" t="str">
        <f>"女"</f>
        <v>女</v>
      </c>
      <c r="E280" s="2" t="str">
        <f>"202209043703"</f>
        <v>202209043703</v>
      </c>
      <c r="F280" s="4">
        <v>71.7</v>
      </c>
      <c r="G280" s="4">
        <v>85</v>
      </c>
      <c r="H280" s="4">
        <f t="shared" si="24"/>
        <v>79.68</v>
      </c>
      <c r="I280" s="5" t="s">
        <v>28</v>
      </c>
    </row>
    <row r="281" spans="1:9" ht="14.25">
      <c r="A281" s="4">
        <v>279</v>
      </c>
      <c r="B281" s="2" t="s">
        <v>29</v>
      </c>
      <c r="C281" s="2" t="str">
        <f>"李宇林"</f>
        <v>李宇林</v>
      </c>
      <c r="D281" s="2" t="str">
        <f>"男"</f>
        <v>男</v>
      </c>
      <c r="E281" s="2" t="str">
        <f>"202209043809"</f>
        <v>202209043809</v>
      </c>
      <c r="F281" s="4">
        <v>68.30000000000001</v>
      </c>
      <c r="G281" s="4">
        <v>87</v>
      </c>
      <c r="H281" s="4">
        <f t="shared" si="24"/>
        <v>79.52000000000001</v>
      </c>
      <c r="I281" s="5" t="s">
        <v>28</v>
      </c>
    </row>
    <row r="282" spans="1:9" ht="14.25">
      <c r="A282" s="4">
        <v>280</v>
      </c>
      <c r="B282" s="2" t="s">
        <v>29</v>
      </c>
      <c r="C282" s="2" t="str">
        <f>"刘圆方"</f>
        <v>刘圆方</v>
      </c>
      <c r="D282" s="2" t="str">
        <f>"女"</f>
        <v>女</v>
      </c>
      <c r="E282" s="2" t="str">
        <f>"202209043711"</f>
        <v>202209043711</v>
      </c>
      <c r="F282" s="4">
        <v>68.9</v>
      </c>
      <c r="G282" s="4">
        <v>86</v>
      </c>
      <c r="H282" s="4">
        <f t="shared" si="24"/>
        <v>79.16</v>
      </c>
      <c r="I282" s="5" t="s">
        <v>28</v>
      </c>
    </row>
    <row r="283" spans="1:9" ht="14.25">
      <c r="A283" s="4">
        <v>281</v>
      </c>
      <c r="B283" s="2" t="s">
        <v>29</v>
      </c>
      <c r="C283" s="2" t="str">
        <f>"陶恒之"</f>
        <v>陶恒之</v>
      </c>
      <c r="D283" s="2" t="str">
        <f>"男"</f>
        <v>男</v>
      </c>
      <c r="E283" s="2" t="str">
        <f>"202209043714"</f>
        <v>202209043714</v>
      </c>
      <c r="F283" s="4">
        <v>70.3</v>
      </c>
      <c r="G283" s="4">
        <v>85</v>
      </c>
      <c r="H283" s="4">
        <f t="shared" si="24"/>
        <v>79.12</v>
      </c>
      <c r="I283" s="5" t="s">
        <v>28</v>
      </c>
    </row>
    <row r="284" spans="1:9" ht="14.25">
      <c r="A284" s="4">
        <v>282</v>
      </c>
      <c r="B284" s="2" t="s">
        <v>29</v>
      </c>
      <c r="C284" s="2" t="str">
        <f>"胡梦灵"</f>
        <v>胡梦灵</v>
      </c>
      <c r="D284" s="2" t="str">
        <f>"女"</f>
        <v>女</v>
      </c>
      <c r="E284" s="2" t="str">
        <f>"202209043706"</f>
        <v>202209043706</v>
      </c>
      <c r="F284" s="4">
        <v>65.5</v>
      </c>
      <c r="G284" s="4">
        <v>88</v>
      </c>
      <c r="H284" s="4">
        <f t="shared" si="24"/>
        <v>79</v>
      </c>
      <c r="I284" s="5" t="s">
        <v>28</v>
      </c>
    </row>
    <row r="285" spans="1:9" ht="14.25">
      <c r="A285" s="4">
        <v>283</v>
      </c>
      <c r="B285" s="2" t="s">
        <v>29</v>
      </c>
      <c r="C285" s="2" t="str">
        <f>"王苗"</f>
        <v>王苗</v>
      </c>
      <c r="D285" s="2" t="str">
        <f>"女"</f>
        <v>女</v>
      </c>
      <c r="E285" s="2" t="str">
        <f>"202209043727"</f>
        <v>202209043727</v>
      </c>
      <c r="F285" s="4">
        <v>71</v>
      </c>
      <c r="G285" s="4">
        <v>84</v>
      </c>
      <c r="H285" s="4">
        <f t="shared" si="24"/>
        <v>78.8</v>
      </c>
      <c r="I285" s="5" t="s">
        <v>28</v>
      </c>
    </row>
    <row r="286" spans="1:9" ht="14.25">
      <c r="A286" s="4">
        <v>284</v>
      </c>
      <c r="B286" s="2" t="s">
        <v>29</v>
      </c>
      <c r="C286" s="2" t="str">
        <f>"赵祥恒"</f>
        <v>赵祥恒</v>
      </c>
      <c r="D286" s="2" t="str">
        <f>"男"</f>
        <v>男</v>
      </c>
      <c r="E286" s="2" t="str">
        <f>"202209043821"</f>
        <v>202209043821</v>
      </c>
      <c r="F286" s="4">
        <v>58.8</v>
      </c>
      <c r="G286" s="4">
        <v>92</v>
      </c>
      <c r="H286" s="4">
        <f t="shared" si="24"/>
        <v>78.72</v>
      </c>
      <c r="I286" s="5" t="s">
        <v>28</v>
      </c>
    </row>
    <row r="287" spans="1:9" ht="14.25">
      <c r="A287" s="4">
        <v>285</v>
      </c>
      <c r="B287" s="2" t="s">
        <v>29</v>
      </c>
      <c r="C287" s="2" t="str">
        <f>"康春蕾"</f>
        <v>康春蕾</v>
      </c>
      <c r="D287" s="2" t="str">
        <f>"女"</f>
        <v>女</v>
      </c>
      <c r="E287" s="2" t="str">
        <f>"202209043814"</f>
        <v>202209043814</v>
      </c>
      <c r="F287" s="4">
        <v>72.9</v>
      </c>
      <c r="G287" s="4">
        <v>82</v>
      </c>
      <c r="H287" s="4">
        <f t="shared" si="24"/>
        <v>78.36</v>
      </c>
      <c r="I287" s="5" t="s">
        <v>28</v>
      </c>
    </row>
    <row r="288" spans="1:9" ht="14.25">
      <c r="A288" s="4">
        <v>286</v>
      </c>
      <c r="B288" s="2" t="s">
        <v>29</v>
      </c>
      <c r="C288" s="2" t="str">
        <f>"柴发光"</f>
        <v>柴发光</v>
      </c>
      <c r="D288" s="2" t="str">
        <f>"男"</f>
        <v>男</v>
      </c>
      <c r="E288" s="2" t="str">
        <f>"202209043723"</f>
        <v>202209043723</v>
      </c>
      <c r="F288" s="4">
        <v>69.80000000000001</v>
      </c>
      <c r="G288" s="4">
        <v>82</v>
      </c>
      <c r="H288" s="4">
        <f t="shared" si="24"/>
        <v>77.12</v>
      </c>
      <c r="I288" s="5" t="s">
        <v>28</v>
      </c>
    </row>
    <row r="289" spans="1:9" ht="14.25">
      <c r="A289" s="4">
        <v>287</v>
      </c>
      <c r="B289" s="2" t="s">
        <v>29</v>
      </c>
      <c r="C289" s="2" t="str">
        <f>"康芯文"</f>
        <v>康芯文</v>
      </c>
      <c r="D289" s="2" t="str">
        <f>"女"</f>
        <v>女</v>
      </c>
      <c r="E289" s="2" t="str">
        <f>"202209043810"</f>
        <v>202209043810</v>
      </c>
      <c r="F289" s="4">
        <v>61.8</v>
      </c>
      <c r="G289" s="4">
        <v>87</v>
      </c>
      <c r="H289" s="4">
        <f t="shared" si="24"/>
        <v>76.91999999999999</v>
      </c>
      <c r="I289" s="5" t="s">
        <v>28</v>
      </c>
    </row>
    <row r="290" spans="1:9" ht="14.25">
      <c r="A290" s="4">
        <v>288</v>
      </c>
      <c r="B290" s="2" t="s">
        <v>29</v>
      </c>
      <c r="C290" s="2" t="str">
        <f>"夏斌"</f>
        <v>夏斌</v>
      </c>
      <c r="D290" s="2" t="str">
        <f>"男"</f>
        <v>男</v>
      </c>
      <c r="E290" s="2" t="str">
        <f>"202209043812"</f>
        <v>202209043812</v>
      </c>
      <c r="F290" s="4">
        <v>67.5</v>
      </c>
      <c r="G290" s="4">
        <v>83</v>
      </c>
      <c r="H290" s="4">
        <f t="shared" si="24"/>
        <v>76.8</v>
      </c>
      <c r="I290" s="5" t="s">
        <v>28</v>
      </c>
    </row>
    <row r="291" spans="1:9" ht="14.25">
      <c r="A291" s="4">
        <v>289</v>
      </c>
      <c r="B291" s="2" t="s">
        <v>29</v>
      </c>
      <c r="C291" s="2" t="str">
        <f>"刘钰"</f>
        <v>刘钰</v>
      </c>
      <c r="D291" s="2" t="str">
        <f>"女"</f>
        <v>女</v>
      </c>
      <c r="E291" s="2" t="str">
        <f>"202209043819"</f>
        <v>202209043819</v>
      </c>
      <c r="F291" s="4">
        <v>62.8</v>
      </c>
      <c r="G291" s="4">
        <v>86</v>
      </c>
      <c r="H291" s="4">
        <f t="shared" si="24"/>
        <v>76.72</v>
      </c>
      <c r="I291" s="5" t="s">
        <v>28</v>
      </c>
    </row>
    <row r="292" spans="1:9" ht="14.25">
      <c r="A292" s="4">
        <v>290</v>
      </c>
      <c r="B292" s="2" t="s">
        <v>29</v>
      </c>
      <c r="C292" s="2" t="str">
        <f>"郑雨露"</f>
        <v>郑雨露</v>
      </c>
      <c r="D292" s="2" t="str">
        <f>"女"</f>
        <v>女</v>
      </c>
      <c r="E292" s="2" t="str">
        <f>"202209043702"</f>
        <v>202209043702</v>
      </c>
      <c r="F292" s="4">
        <v>74.5</v>
      </c>
      <c r="G292" s="4">
        <v>78</v>
      </c>
      <c r="H292" s="4">
        <f t="shared" si="24"/>
        <v>76.6</v>
      </c>
      <c r="I292" s="5" t="s">
        <v>28</v>
      </c>
    </row>
    <row r="293" spans="1:9" ht="14.25">
      <c r="A293" s="4">
        <v>291</v>
      </c>
      <c r="B293" s="2" t="s">
        <v>29</v>
      </c>
      <c r="C293" s="2" t="str">
        <f>"叶文成"</f>
        <v>叶文成</v>
      </c>
      <c r="D293" s="2" t="str">
        <f>"男"</f>
        <v>男</v>
      </c>
      <c r="E293" s="2" t="str">
        <f>"202209043718"</f>
        <v>202209043718</v>
      </c>
      <c r="F293" s="4">
        <v>70.60000000000001</v>
      </c>
      <c r="G293" s="4">
        <v>79</v>
      </c>
      <c r="H293" s="4">
        <f t="shared" si="24"/>
        <v>75.64</v>
      </c>
      <c r="I293" s="5" t="s">
        <v>28</v>
      </c>
    </row>
    <row r="294" spans="1:9" ht="14.25">
      <c r="A294" s="4">
        <v>292</v>
      </c>
      <c r="B294" s="2" t="s">
        <v>29</v>
      </c>
      <c r="C294" s="2" t="str">
        <f>"李梦杰"</f>
        <v>李梦杰</v>
      </c>
      <c r="D294" s="2" t="str">
        <f>"男"</f>
        <v>男</v>
      </c>
      <c r="E294" s="2" t="str">
        <f>"202209043715"</f>
        <v>202209043715</v>
      </c>
      <c r="F294" s="4">
        <v>52</v>
      </c>
      <c r="G294" s="4">
        <v>89</v>
      </c>
      <c r="H294" s="4">
        <f t="shared" si="24"/>
        <v>74.2</v>
      </c>
      <c r="I294" s="5" t="s">
        <v>28</v>
      </c>
    </row>
    <row r="295" spans="1:9" ht="14.25">
      <c r="A295" s="4">
        <v>293</v>
      </c>
      <c r="B295" s="2" t="s">
        <v>29</v>
      </c>
      <c r="C295" s="2" t="str">
        <f>"徐国杰"</f>
        <v>徐国杰</v>
      </c>
      <c r="D295" s="2" t="str">
        <f>"女"</f>
        <v>女</v>
      </c>
      <c r="E295" s="2" t="str">
        <f>"202209043716"</f>
        <v>202209043716</v>
      </c>
      <c r="F295" s="4">
        <v>57.1</v>
      </c>
      <c r="G295" s="4">
        <v>85</v>
      </c>
      <c r="H295" s="4">
        <f t="shared" si="24"/>
        <v>73.84</v>
      </c>
      <c r="I295" s="5" t="s">
        <v>28</v>
      </c>
    </row>
    <row r="296" spans="1:9" ht="14.25">
      <c r="A296" s="4">
        <v>294</v>
      </c>
      <c r="B296" s="2" t="s">
        <v>29</v>
      </c>
      <c r="C296" s="2" t="str">
        <f>"张骞"</f>
        <v>张骞</v>
      </c>
      <c r="D296" s="2" t="str">
        <f>"男"</f>
        <v>男</v>
      </c>
      <c r="E296" s="2" t="str">
        <f>"202209043717"</f>
        <v>202209043717</v>
      </c>
      <c r="F296" s="4">
        <v>73.4</v>
      </c>
      <c r="G296" s="4">
        <v>74</v>
      </c>
      <c r="H296" s="4">
        <f t="shared" si="24"/>
        <v>73.76</v>
      </c>
      <c r="I296" s="5" t="s">
        <v>28</v>
      </c>
    </row>
    <row r="297" spans="1:9" ht="14.25">
      <c r="A297" s="4">
        <v>295</v>
      </c>
      <c r="B297" s="2" t="s">
        <v>29</v>
      </c>
      <c r="C297" s="2" t="str">
        <f>"朱娜"</f>
        <v>朱娜</v>
      </c>
      <c r="D297" s="2" t="str">
        <f>"女"</f>
        <v>女</v>
      </c>
      <c r="E297" s="2" t="str">
        <f>"202209043807"</f>
        <v>202209043807</v>
      </c>
      <c r="F297" s="4">
        <v>63.4</v>
      </c>
      <c r="G297" s="4">
        <v>80</v>
      </c>
      <c r="H297" s="4">
        <f t="shared" si="24"/>
        <v>73.36</v>
      </c>
      <c r="I297" s="5" t="s">
        <v>28</v>
      </c>
    </row>
    <row r="298" spans="1:9" ht="14.25">
      <c r="A298" s="4">
        <v>296</v>
      </c>
      <c r="B298" s="2" t="s">
        <v>29</v>
      </c>
      <c r="C298" s="2" t="str">
        <f>"费娜娜"</f>
        <v>费娜娜</v>
      </c>
      <c r="D298" s="2" t="str">
        <f>"女"</f>
        <v>女</v>
      </c>
      <c r="E298" s="2" t="str">
        <f>"202209043729"</f>
        <v>202209043729</v>
      </c>
      <c r="F298" s="4">
        <v>75.7</v>
      </c>
      <c r="G298" s="4">
        <v>70</v>
      </c>
      <c r="H298" s="4">
        <f t="shared" si="24"/>
        <v>72.28</v>
      </c>
      <c r="I298" s="5" t="s">
        <v>28</v>
      </c>
    </row>
    <row r="299" spans="1:9" ht="14.25">
      <c r="A299" s="4">
        <v>297</v>
      </c>
      <c r="B299" s="2" t="s">
        <v>29</v>
      </c>
      <c r="C299" s="2" t="str">
        <f>"赵丽缇"</f>
        <v>赵丽缇</v>
      </c>
      <c r="D299" s="2" t="str">
        <f>"女"</f>
        <v>女</v>
      </c>
      <c r="E299" s="2" t="str">
        <f>"202209043730"</f>
        <v>202209043730</v>
      </c>
      <c r="F299" s="4">
        <v>61.7</v>
      </c>
      <c r="G299" s="4">
        <v>79</v>
      </c>
      <c r="H299" s="4">
        <f t="shared" si="24"/>
        <v>72.08</v>
      </c>
      <c r="I299" s="5" t="s">
        <v>28</v>
      </c>
    </row>
    <row r="300" spans="1:9" ht="14.25">
      <c r="A300" s="4">
        <v>298</v>
      </c>
      <c r="B300" s="2" t="s">
        <v>29</v>
      </c>
      <c r="C300" s="2" t="str">
        <f>"李晴晴"</f>
        <v>李晴晴</v>
      </c>
      <c r="D300" s="2" t="str">
        <f>"女"</f>
        <v>女</v>
      </c>
      <c r="E300" s="2" t="str">
        <f>"202209043813"</f>
        <v>202209043813</v>
      </c>
      <c r="F300" s="4">
        <v>68.7</v>
      </c>
      <c r="G300" s="4">
        <v>74</v>
      </c>
      <c r="H300" s="4">
        <f t="shared" si="24"/>
        <v>71.88</v>
      </c>
      <c r="I300" s="5" t="s">
        <v>28</v>
      </c>
    </row>
    <row r="301" spans="1:9" ht="14.25">
      <c r="A301" s="4">
        <v>299</v>
      </c>
      <c r="B301" s="2" t="s">
        <v>29</v>
      </c>
      <c r="C301" s="2" t="str">
        <f>"刘万强"</f>
        <v>刘万强</v>
      </c>
      <c r="D301" s="2" t="str">
        <f>"男"</f>
        <v>男</v>
      </c>
      <c r="E301" s="2" t="str">
        <f>"202209043817"</f>
        <v>202209043817</v>
      </c>
      <c r="F301" s="4">
        <v>65.4</v>
      </c>
      <c r="G301" s="4">
        <v>76</v>
      </c>
      <c r="H301" s="4">
        <f t="shared" si="24"/>
        <v>71.76</v>
      </c>
      <c r="I301" s="5" t="s">
        <v>28</v>
      </c>
    </row>
    <row r="302" spans="1:9" ht="14.25">
      <c r="A302" s="4">
        <v>300</v>
      </c>
      <c r="B302" s="2" t="s">
        <v>30</v>
      </c>
      <c r="C302" s="2" t="str">
        <f>"李丽蒙"</f>
        <v>李丽蒙</v>
      </c>
      <c r="D302" s="2" t="str">
        <f>"女"</f>
        <v>女</v>
      </c>
      <c r="E302" s="2" t="str">
        <f>"202209044021"</f>
        <v>202209044021</v>
      </c>
      <c r="F302" s="4">
        <v>82.1</v>
      </c>
      <c r="G302" s="4">
        <v>84</v>
      </c>
      <c r="H302" s="4">
        <f aca="true" t="shared" si="27" ref="H302:H333">G302*0.6+F302*0.4</f>
        <v>83.24</v>
      </c>
      <c r="I302" s="5" t="s">
        <v>20</v>
      </c>
    </row>
    <row r="303" spans="1:9" ht="14.25">
      <c r="A303" s="4">
        <v>301</v>
      </c>
      <c r="B303" s="2" t="s">
        <v>30</v>
      </c>
      <c r="C303" s="2" t="str">
        <f>"薛丽娜"</f>
        <v>薛丽娜</v>
      </c>
      <c r="D303" s="2" t="str">
        <f>"女"</f>
        <v>女</v>
      </c>
      <c r="E303" s="2" t="str">
        <f>"202209044010"</f>
        <v>202209044010</v>
      </c>
      <c r="F303" s="4">
        <v>79.9</v>
      </c>
      <c r="G303" s="4">
        <v>85</v>
      </c>
      <c r="H303" s="4">
        <f t="shared" si="27"/>
        <v>82.96000000000001</v>
      </c>
      <c r="I303" s="5" t="s">
        <v>20</v>
      </c>
    </row>
    <row r="304" spans="1:9" ht="14.25">
      <c r="A304" s="4">
        <v>302</v>
      </c>
      <c r="B304" s="2" t="s">
        <v>30</v>
      </c>
      <c r="C304" s="2" t="str">
        <f>"经星"</f>
        <v>经星</v>
      </c>
      <c r="D304" s="2" t="str">
        <f>"女"</f>
        <v>女</v>
      </c>
      <c r="E304" s="2" t="str">
        <f>"202209044002"</f>
        <v>202209044002</v>
      </c>
      <c r="F304" s="4">
        <v>76.60000000000001</v>
      </c>
      <c r="G304" s="4">
        <v>84</v>
      </c>
      <c r="H304" s="4">
        <f t="shared" si="27"/>
        <v>81.04</v>
      </c>
      <c r="I304" s="5" t="s">
        <v>20</v>
      </c>
    </row>
    <row r="305" spans="1:9" ht="14.25">
      <c r="A305" s="4">
        <v>303</v>
      </c>
      <c r="B305" s="2" t="s">
        <v>30</v>
      </c>
      <c r="C305" s="2" t="str">
        <f>"刘志会"</f>
        <v>刘志会</v>
      </c>
      <c r="D305" s="2" t="str">
        <f>"女"</f>
        <v>女</v>
      </c>
      <c r="E305" s="2" t="str">
        <f>"202209044011"</f>
        <v>202209044011</v>
      </c>
      <c r="F305" s="4">
        <v>79.1</v>
      </c>
      <c r="G305" s="4">
        <v>82</v>
      </c>
      <c r="H305" s="4">
        <f t="shared" si="27"/>
        <v>80.84</v>
      </c>
      <c r="I305" s="5" t="s">
        <v>20</v>
      </c>
    </row>
    <row r="306" spans="1:9" ht="14.25">
      <c r="A306" s="4">
        <v>304</v>
      </c>
      <c r="B306" s="2" t="s">
        <v>30</v>
      </c>
      <c r="C306" s="2" t="str">
        <f>"徐瑞·"</f>
        <v>徐瑞·</v>
      </c>
      <c r="D306" s="2" t="str">
        <f>"女"</f>
        <v>女</v>
      </c>
      <c r="E306" s="2" t="str">
        <f>"202209044001"</f>
        <v>202209044001</v>
      </c>
      <c r="F306" s="4">
        <v>80.6</v>
      </c>
      <c r="G306" s="4">
        <v>81</v>
      </c>
      <c r="H306" s="4">
        <f t="shared" si="27"/>
        <v>80.84</v>
      </c>
      <c r="I306" s="5" t="s">
        <v>20</v>
      </c>
    </row>
    <row r="307" spans="1:9" ht="14.25">
      <c r="A307" s="4">
        <v>305</v>
      </c>
      <c r="B307" s="2" t="s">
        <v>30</v>
      </c>
      <c r="C307" s="2" t="str">
        <f>"张洪备"</f>
        <v>张洪备</v>
      </c>
      <c r="D307" s="2" t="str">
        <f>"男"</f>
        <v>男</v>
      </c>
      <c r="E307" s="2" t="str">
        <f>"202209043918"</f>
        <v>202209043918</v>
      </c>
      <c r="F307" s="4">
        <v>73.80000000000001</v>
      </c>
      <c r="G307" s="4">
        <v>85</v>
      </c>
      <c r="H307" s="4">
        <f t="shared" si="27"/>
        <v>80.52000000000001</v>
      </c>
      <c r="I307" s="5" t="s">
        <v>20</v>
      </c>
    </row>
    <row r="308" spans="1:9" ht="14.25">
      <c r="A308" s="4">
        <v>306</v>
      </c>
      <c r="B308" s="2" t="s">
        <v>30</v>
      </c>
      <c r="C308" s="2" t="str">
        <f>"赵迎亚"</f>
        <v>赵迎亚</v>
      </c>
      <c r="D308" s="2" t="str">
        <f>"女"</f>
        <v>女</v>
      </c>
      <c r="E308" s="2" t="str">
        <f>"202209043902"</f>
        <v>202209043902</v>
      </c>
      <c r="F308" s="4">
        <v>77.1</v>
      </c>
      <c r="G308" s="4">
        <v>82</v>
      </c>
      <c r="H308" s="4">
        <f t="shared" si="27"/>
        <v>80.03999999999999</v>
      </c>
      <c r="I308" s="5" t="s">
        <v>20</v>
      </c>
    </row>
    <row r="309" spans="1:9" ht="14.25">
      <c r="A309" s="4">
        <v>307</v>
      </c>
      <c r="B309" s="2" t="s">
        <v>30</v>
      </c>
      <c r="C309" s="2" t="str">
        <f>"张子君"</f>
        <v>张子君</v>
      </c>
      <c r="D309" s="2" t="str">
        <f>"女"</f>
        <v>女</v>
      </c>
      <c r="E309" s="2" t="str">
        <f>"202209043922"</f>
        <v>202209043922</v>
      </c>
      <c r="F309" s="4">
        <v>83.9</v>
      </c>
      <c r="G309" s="4">
        <v>77</v>
      </c>
      <c r="H309" s="4">
        <f t="shared" si="27"/>
        <v>79.75999999999999</v>
      </c>
      <c r="I309" s="5" t="s">
        <v>20</v>
      </c>
    </row>
    <row r="310" spans="1:9" ht="14.25">
      <c r="A310" s="4">
        <v>308</v>
      </c>
      <c r="B310" s="2" t="s">
        <v>30</v>
      </c>
      <c r="C310" s="2" t="str">
        <f>"苗胜男"</f>
        <v>苗胜男</v>
      </c>
      <c r="D310" s="2" t="str">
        <f>"女"</f>
        <v>女</v>
      </c>
      <c r="E310" s="2" t="str">
        <f>"202209043920"</f>
        <v>202209043920</v>
      </c>
      <c r="F310" s="4">
        <v>74.7</v>
      </c>
      <c r="G310" s="4">
        <v>83</v>
      </c>
      <c r="H310" s="4">
        <f t="shared" si="27"/>
        <v>79.68</v>
      </c>
      <c r="I310" s="5" t="s">
        <v>20</v>
      </c>
    </row>
    <row r="311" spans="1:9" ht="14.25">
      <c r="A311" s="4">
        <v>309</v>
      </c>
      <c r="B311" s="2" t="s">
        <v>30</v>
      </c>
      <c r="C311" s="2" t="str">
        <f>"赵娟"</f>
        <v>赵娟</v>
      </c>
      <c r="D311" s="2" t="str">
        <f>"女"</f>
        <v>女</v>
      </c>
      <c r="E311" s="2" t="str">
        <f>"202209043909"</f>
        <v>202209043909</v>
      </c>
      <c r="F311" s="4">
        <v>79.7</v>
      </c>
      <c r="G311" s="4">
        <v>79</v>
      </c>
      <c r="H311" s="4">
        <f t="shared" si="27"/>
        <v>79.28</v>
      </c>
      <c r="I311" s="5" t="s">
        <v>20</v>
      </c>
    </row>
    <row r="312" spans="1:9" ht="14.25">
      <c r="A312" s="4">
        <v>310</v>
      </c>
      <c r="B312" s="2" t="s">
        <v>30</v>
      </c>
      <c r="C312" s="2" t="str">
        <f>"于文利"</f>
        <v>于文利</v>
      </c>
      <c r="D312" s="2" t="str">
        <f>"女"</f>
        <v>女</v>
      </c>
      <c r="E312" s="2" t="str">
        <f>"202209044029"</f>
        <v>202209044029</v>
      </c>
      <c r="F312" s="4">
        <v>79.7</v>
      </c>
      <c r="G312" s="4">
        <v>79</v>
      </c>
      <c r="H312" s="4">
        <f t="shared" si="27"/>
        <v>79.28</v>
      </c>
      <c r="I312" s="5" t="s">
        <v>20</v>
      </c>
    </row>
    <row r="313" spans="1:9" ht="14.25">
      <c r="A313" s="4">
        <v>311</v>
      </c>
      <c r="B313" s="2" t="s">
        <v>30</v>
      </c>
      <c r="C313" s="2" t="str">
        <f>"李冬青"</f>
        <v>李冬青</v>
      </c>
      <c r="D313" s="2" t="str">
        <f>"男"</f>
        <v>男</v>
      </c>
      <c r="E313" s="2" t="str">
        <f>"202209043913"</f>
        <v>202209043913</v>
      </c>
      <c r="F313" s="4">
        <v>79.5</v>
      </c>
      <c r="G313" s="4">
        <v>79</v>
      </c>
      <c r="H313" s="4">
        <f t="shared" si="27"/>
        <v>79.2</v>
      </c>
      <c r="I313" s="5" t="s">
        <v>20</v>
      </c>
    </row>
    <row r="314" spans="1:9" ht="14.25">
      <c r="A314" s="4">
        <v>312</v>
      </c>
      <c r="B314" s="2" t="s">
        <v>30</v>
      </c>
      <c r="C314" s="2" t="str">
        <f>"甄远柳"</f>
        <v>甄远柳</v>
      </c>
      <c r="D314" s="2" t="str">
        <f>"女"</f>
        <v>女</v>
      </c>
      <c r="E314" s="2" t="str">
        <f>"202209044014"</f>
        <v>202209044014</v>
      </c>
      <c r="F314" s="4">
        <v>69.8</v>
      </c>
      <c r="G314" s="4">
        <v>85</v>
      </c>
      <c r="H314" s="4">
        <f t="shared" si="27"/>
        <v>78.92</v>
      </c>
      <c r="I314" s="5" t="s">
        <v>20</v>
      </c>
    </row>
    <row r="315" spans="1:9" ht="14.25">
      <c r="A315" s="4">
        <v>313</v>
      </c>
      <c r="B315" s="2" t="s">
        <v>30</v>
      </c>
      <c r="C315" s="2" t="str">
        <f>"顾金颍"</f>
        <v>顾金颍</v>
      </c>
      <c r="D315" s="2" t="str">
        <f>"女"</f>
        <v>女</v>
      </c>
      <c r="E315" s="2" t="str">
        <f>"202209043904"</f>
        <v>202209043904</v>
      </c>
      <c r="F315" s="4">
        <v>69.3</v>
      </c>
      <c r="G315" s="4">
        <v>85</v>
      </c>
      <c r="H315" s="4">
        <f t="shared" si="27"/>
        <v>78.72</v>
      </c>
      <c r="I315" s="5" t="s">
        <v>20</v>
      </c>
    </row>
    <row r="316" spans="1:9" ht="14.25">
      <c r="A316" s="4">
        <v>314</v>
      </c>
      <c r="B316" s="2" t="s">
        <v>30</v>
      </c>
      <c r="C316" s="2" t="str">
        <f>"胡露露"</f>
        <v>胡露露</v>
      </c>
      <c r="D316" s="2" t="str">
        <f>"女"</f>
        <v>女</v>
      </c>
      <c r="E316" s="2" t="str">
        <f>"202209044012"</f>
        <v>202209044012</v>
      </c>
      <c r="F316" s="4">
        <v>81.30000000000001</v>
      </c>
      <c r="G316" s="4">
        <v>77</v>
      </c>
      <c r="H316" s="4">
        <f t="shared" si="27"/>
        <v>78.72</v>
      </c>
      <c r="I316" s="5" t="s">
        <v>20</v>
      </c>
    </row>
    <row r="317" spans="1:9" ht="14.25">
      <c r="A317" s="4">
        <v>315</v>
      </c>
      <c r="B317" s="2" t="s">
        <v>30</v>
      </c>
      <c r="C317" s="2" t="str">
        <f>"何瑛"</f>
        <v>何瑛</v>
      </c>
      <c r="D317" s="2" t="str">
        <f>"女"</f>
        <v>女</v>
      </c>
      <c r="E317" s="2" t="str">
        <f>"202209044227"</f>
        <v>202209044227</v>
      </c>
      <c r="F317" s="4">
        <v>73.7</v>
      </c>
      <c r="G317" s="4">
        <v>82</v>
      </c>
      <c r="H317" s="4">
        <f t="shared" si="27"/>
        <v>78.68</v>
      </c>
      <c r="I317" s="5" t="s">
        <v>20</v>
      </c>
    </row>
    <row r="318" spans="1:9" ht="14.25">
      <c r="A318" s="4">
        <v>316</v>
      </c>
      <c r="B318" s="2" t="s">
        <v>30</v>
      </c>
      <c r="C318" s="2" t="str">
        <f>"张凯旋"</f>
        <v>张凯旋</v>
      </c>
      <c r="D318" s="2" t="str">
        <f>"男"</f>
        <v>男</v>
      </c>
      <c r="E318" s="2" t="str">
        <f>"202209044225"</f>
        <v>202209044225</v>
      </c>
      <c r="F318" s="4">
        <v>82.6</v>
      </c>
      <c r="G318" s="4">
        <v>76</v>
      </c>
      <c r="H318" s="4">
        <f t="shared" si="27"/>
        <v>78.64</v>
      </c>
      <c r="I318" s="5" t="s">
        <v>20</v>
      </c>
    </row>
    <row r="319" spans="1:9" ht="14.25">
      <c r="A319" s="4">
        <v>317</v>
      </c>
      <c r="B319" s="2" t="s">
        <v>30</v>
      </c>
      <c r="C319" s="2" t="str">
        <f>"陈璐璐"</f>
        <v>陈璐璐</v>
      </c>
      <c r="D319" s="2" t="str">
        <f>"女"</f>
        <v>女</v>
      </c>
      <c r="E319" s="2" t="str">
        <f>"202209043926"</f>
        <v>202209043926</v>
      </c>
      <c r="F319" s="4">
        <v>71.3</v>
      </c>
      <c r="G319" s="4">
        <v>83</v>
      </c>
      <c r="H319" s="4">
        <f t="shared" si="27"/>
        <v>78.32</v>
      </c>
      <c r="I319" s="5" t="s">
        <v>20</v>
      </c>
    </row>
    <row r="320" spans="1:9" ht="14.25">
      <c r="A320" s="4">
        <v>318</v>
      </c>
      <c r="B320" s="2" t="s">
        <v>30</v>
      </c>
      <c r="C320" s="2" t="str">
        <f>"时忍忍"</f>
        <v>时忍忍</v>
      </c>
      <c r="D320" s="2" t="str">
        <f>"女"</f>
        <v>女</v>
      </c>
      <c r="E320" s="2" t="str">
        <f>"202209044025"</f>
        <v>202209044025</v>
      </c>
      <c r="F320" s="4">
        <v>76</v>
      </c>
      <c r="G320" s="4">
        <v>79</v>
      </c>
      <c r="H320" s="4">
        <f t="shared" si="27"/>
        <v>77.8</v>
      </c>
      <c r="I320" s="5" t="s">
        <v>20</v>
      </c>
    </row>
    <row r="321" spans="1:9" ht="14.25">
      <c r="A321" s="4">
        <v>319</v>
      </c>
      <c r="B321" s="2" t="s">
        <v>30</v>
      </c>
      <c r="C321" s="2" t="str">
        <f>"贾宁"</f>
        <v>贾宁</v>
      </c>
      <c r="D321" s="2" t="str">
        <f>"女"</f>
        <v>女</v>
      </c>
      <c r="E321" s="2" t="str">
        <f>"202209043923"</f>
        <v>202209043923</v>
      </c>
      <c r="F321" s="4">
        <v>75.8</v>
      </c>
      <c r="G321" s="4">
        <v>78</v>
      </c>
      <c r="H321" s="4">
        <f t="shared" si="27"/>
        <v>77.12</v>
      </c>
      <c r="I321" s="5" t="s">
        <v>20</v>
      </c>
    </row>
    <row r="322" spans="1:9" ht="14.25">
      <c r="A322" s="4">
        <v>320</v>
      </c>
      <c r="B322" s="2" t="s">
        <v>30</v>
      </c>
      <c r="C322" s="2" t="str">
        <f>"张宇"</f>
        <v>张宇</v>
      </c>
      <c r="D322" s="2" t="str">
        <f>"女"</f>
        <v>女</v>
      </c>
      <c r="E322" s="2" t="str">
        <f>"202209044026"</f>
        <v>202209044026</v>
      </c>
      <c r="F322" s="4">
        <v>71.80000000000001</v>
      </c>
      <c r="G322" s="4">
        <v>80</v>
      </c>
      <c r="H322" s="4">
        <f t="shared" si="27"/>
        <v>76.72</v>
      </c>
      <c r="I322" s="5" t="s">
        <v>20</v>
      </c>
    </row>
    <row r="323" spans="1:9" ht="14.25">
      <c r="A323" s="4">
        <v>321</v>
      </c>
      <c r="B323" s="2" t="s">
        <v>30</v>
      </c>
      <c r="C323" s="2" t="str">
        <f>"姜伟"</f>
        <v>姜伟</v>
      </c>
      <c r="D323" s="2" t="str">
        <f>"男"</f>
        <v>男</v>
      </c>
      <c r="E323" s="2" t="str">
        <f>"202209044027"</f>
        <v>202209044027</v>
      </c>
      <c r="F323" s="4">
        <v>71.7</v>
      </c>
      <c r="G323" s="4">
        <v>80</v>
      </c>
      <c r="H323" s="4">
        <f t="shared" si="27"/>
        <v>76.68</v>
      </c>
      <c r="I323" s="5" t="s">
        <v>20</v>
      </c>
    </row>
    <row r="324" spans="1:9" ht="14.25">
      <c r="A324" s="4">
        <v>322</v>
      </c>
      <c r="B324" s="2" t="s">
        <v>30</v>
      </c>
      <c r="C324" s="2" t="str">
        <f>"李渊"</f>
        <v>李渊</v>
      </c>
      <c r="D324" s="2" t="str">
        <f aca="true" t="shared" si="28" ref="D324:D331">"女"</f>
        <v>女</v>
      </c>
      <c r="E324" s="2" t="str">
        <f>"202209043930"</f>
        <v>202209043930</v>
      </c>
      <c r="F324" s="4">
        <v>74.60000000000001</v>
      </c>
      <c r="G324" s="4">
        <v>78</v>
      </c>
      <c r="H324" s="4">
        <f t="shared" si="27"/>
        <v>76.64</v>
      </c>
      <c r="I324" s="5" t="s">
        <v>20</v>
      </c>
    </row>
    <row r="325" spans="1:9" ht="14.25">
      <c r="A325" s="4">
        <v>323</v>
      </c>
      <c r="B325" s="2" t="s">
        <v>30</v>
      </c>
      <c r="C325" s="2" t="str">
        <f>"强玲玲"</f>
        <v>强玲玲</v>
      </c>
      <c r="D325" s="2" t="str">
        <f t="shared" si="28"/>
        <v>女</v>
      </c>
      <c r="E325" s="2" t="str">
        <f>"202209044008"</f>
        <v>202209044008</v>
      </c>
      <c r="F325" s="4">
        <v>78.7</v>
      </c>
      <c r="G325" s="4">
        <v>75</v>
      </c>
      <c r="H325" s="4">
        <f t="shared" si="27"/>
        <v>76.48</v>
      </c>
      <c r="I325" s="5" t="s">
        <v>20</v>
      </c>
    </row>
    <row r="326" spans="1:9" ht="14.25">
      <c r="A326" s="4">
        <v>324</v>
      </c>
      <c r="B326" s="2" t="s">
        <v>30</v>
      </c>
      <c r="C326" s="2" t="str">
        <f>"夏楠楠"</f>
        <v>夏楠楠</v>
      </c>
      <c r="D326" s="2" t="str">
        <f t="shared" si="28"/>
        <v>女</v>
      </c>
      <c r="E326" s="2" t="str">
        <f>"202209043921"</f>
        <v>202209043921</v>
      </c>
      <c r="F326" s="4">
        <v>75.60000000000001</v>
      </c>
      <c r="G326" s="4">
        <v>77</v>
      </c>
      <c r="H326" s="4">
        <f t="shared" si="27"/>
        <v>76.44</v>
      </c>
      <c r="I326" s="5" t="s">
        <v>20</v>
      </c>
    </row>
    <row r="327" spans="1:9" ht="14.25">
      <c r="A327" s="4">
        <v>325</v>
      </c>
      <c r="B327" s="2" t="s">
        <v>30</v>
      </c>
      <c r="C327" s="2" t="str">
        <f>"徐冬梅"</f>
        <v>徐冬梅</v>
      </c>
      <c r="D327" s="2" t="str">
        <f t="shared" si="28"/>
        <v>女</v>
      </c>
      <c r="E327" s="2" t="str">
        <f>"202209044009"</f>
        <v>202209044009</v>
      </c>
      <c r="F327" s="4">
        <v>75.4</v>
      </c>
      <c r="G327" s="4">
        <v>77</v>
      </c>
      <c r="H327" s="4">
        <f t="shared" si="27"/>
        <v>76.36</v>
      </c>
      <c r="I327" s="5" t="s">
        <v>20</v>
      </c>
    </row>
    <row r="328" spans="1:9" ht="14.25">
      <c r="A328" s="4">
        <v>326</v>
      </c>
      <c r="B328" s="2" t="s">
        <v>30</v>
      </c>
      <c r="C328" s="2" t="str">
        <f>"章子贤"</f>
        <v>章子贤</v>
      </c>
      <c r="D328" s="2" t="str">
        <f t="shared" si="28"/>
        <v>女</v>
      </c>
      <c r="E328" s="2" t="str">
        <f>"202209043925"</f>
        <v>202209043925</v>
      </c>
      <c r="F328" s="4">
        <v>74.5</v>
      </c>
      <c r="G328" s="4">
        <v>77</v>
      </c>
      <c r="H328" s="4">
        <f t="shared" si="27"/>
        <v>76</v>
      </c>
      <c r="I328" s="5" t="s">
        <v>20</v>
      </c>
    </row>
    <row r="329" spans="1:9" ht="14.25">
      <c r="A329" s="4">
        <v>327</v>
      </c>
      <c r="B329" s="2" t="s">
        <v>30</v>
      </c>
      <c r="C329" s="2" t="str">
        <f>"王颍"</f>
        <v>王颍</v>
      </c>
      <c r="D329" s="2" t="str">
        <f t="shared" si="28"/>
        <v>女</v>
      </c>
      <c r="E329" s="2" t="str">
        <f>"202209043914"</f>
        <v>202209043914</v>
      </c>
      <c r="F329" s="4">
        <v>64.80000000000001</v>
      </c>
      <c r="G329" s="4">
        <v>83</v>
      </c>
      <c r="H329" s="4">
        <f t="shared" si="27"/>
        <v>75.72</v>
      </c>
      <c r="I329" s="5" t="s">
        <v>20</v>
      </c>
    </row>
    <row r="330" spans="1:9" ht="14.25">
      <c r="A330" s="4">
        <v>328</v>
      </c>
      <c r="B330" s="2" t="s">
        <v>30</v>
      </c>
      <c r="C330" s="2" t="str">
        <f>"李艳秋"</f>
        <v>李艳秋</v>
      </c>
      <c r="D330" s="2" t="str">
        <f t="shared" si="28"/>
        <v>女</v>
      </c>
      <c r="E330" s="2" t="str">
        <f>"202209043919"</f>
        <v>202209043919</v>
      </c>
      <c r="F330" s="4">
        <v>77.9</v>
      </c>
      <c r="G330" s="4">
        <v>74</v>
      </c>
      <c r="H330" s="4">
        <f t="shared" si="27"/>
        <v>75.56</v>
      </c>
      <c r="I330" s="5" t="s">
        <v>20</v>
      </c>
    </row>
    <row r="331" spans="1:9" ht="14.25">
      <c r="A331" s="4">
        <v>329</v>
      </c>
      <c r="B331" s="2" t="s">
        <v>30</v>
      </c>
      <c r="C331" s="2" t="str">
        <f>"计敏"</f>
        <v>计敏</v>
      </c>
      <c r="D331" s="2" t="str">
        <f t="shared" si="28"/>
        <v>女</v>
      </c>
      <c r="E331" s="2" t="str">
        <f>"202209044015"</f>
        <v>202209044015</v>
      </c>
      <c r="F331" s="4">
        <v>73.2</v>
      </c>
      <c r="G331" s="4">
        <v>77</v>
      </c>
      <c r="H331" s="4">
        <f t="shared" si="27"/>
        <v>75.47999999999999</v>
      </c>
      <c r="I331" s="5" t="s">
        <v>20</v>
      </c>
    </row>
    <row r="332" spans="1:9" ht="14.25">
      <c r="A332" s="4">
        <v>330</v>
      </c>
      <c r="B332" s="2" t="s">
        <v>31</v>
      </c>
      <c r="C332" s="2" t="str">
        <f>"张豪"</f>
        <v>张豪</v>
      </c>
      <c r="D332" s="2" t="str">
        <f>"男"</f>
        <v>男</v>
      </c>
      <c r="E332" s="2" t="str">
        <f>"202209044403"</f>
        <v>202209044403</v>
      </c>
      <c r="F332" s="4">
        <v>64</v>
      </c>
      <c r="G332" s="4">
        <v>79</v>
      </c>
      <c r="H332" s="4">
        <f t="shared" si="27"/>
        <v>73</v>
      </c>
      <c r="I332" s="5" t="s">
        <v>28</v>
      </c>
    </row>
    <row r="333" spans="1:9" ht="14.25">
      <c r="A333" s="4">
        <v>331</v>
      </c>
      <c r="B333" s="2" t="s">
        <v>31</v>
      </c>
      <c r="C333" s="2" t="str">
        <f>"刘浩"</f>
        <v>刘浩</v>
      </c>
      <c r="D333" s="2" t="str">
        <f>"男"</f>
        <v>男</v>
      </c>
      <c r="E333" s="2" t="str">
        <f>"202209044402"</f>
        <v>202209044402</v>
      </c>
      <c r="F333" s="4">
        <v>55.2</v>
      </c>
      <c r="G333" s="4">
        <v>84</v>
      </c>
      <c r="H333" s="4">
        <f t="shared" si="27"/>
        <v>72.48</v>
      </c>
      <c r="I333" s="5" t="s">
        <v>28</v>
      </c>
    </row>
    <row r="334" spans="1:9" ht="14.25">
      <c r="A334" s="4">
        <v>332</v>
      </c>
      <c r="B334" s="2" t="s">
        <v>32</v>
      </c>
      <c r="C334" s="2" t="str">
        <f>"骆梦雅"</f>
        <v>骆梦雅</v>
      </c>
      <c r="D334" s="2" t="str">
        <f aca="true" t="shared" si="29" ref="D334:D343">"女"</f>
        <v>女</v>
      </c>
      <c r="E334" s="2" t="str">
        <f>"202209044318"</f>
        <v>202209044318</v>
      </c>
      <c r="F334" s="4">
        <v>81.80000000000001</v>
      </c>
      <c r="G334" s="4">
        <v>77</v>
      </c>
      <c r="H334" s="4">
        <f aca="true" t="shared" si="30" ref="H334:H373">G334*0.6+F334*0.4</f>
        <v>78.92</v>
      </c>
      <c r="I334" s="5" t="s">
        <v>28</v>
      </c>
    </row>
    <row r="335" spans="1:9" ht="14.25">
      <c r="A335" s="4">
        <v>333</v>
      </c>
      <c r="B335" s="2" t="s">
        <v>32</v>
      </c>
      <c r="C335" s="2" t="str">
        <f>"燕冰"</f>
        <v>燕冰</v>
      </c>
      <c r="D335" s="2" t="str">
        <f t="shared" si="29"/>
        <v>女</v>
      </c>
      <c r="E335" s="2" t="str">
        <f>"202209044316"</f>
        <v>202209044316</v>
      </c>
      <c r="F335" s="4">
        <v>76.9</v>
      </c>
      <c r="G335" s="4">
        <v>80</v>
      </c>
      <c r="H335" s="4">
        <f t="shared" si="30"/>
        <v>78.76</v>
      </c>
      <c r="I335" s="5" t="s">
        <v>28</v>
      </c>
    </row>
    <row r="336" spans="1:9" ht="14.25">
      <c r="A336" s="4">
        <v>334</v>
      </c>
      <c r="B336" s="2" t="s">
        <v>32</v>
      </c>
      <c r="C336" s="2" t="str">
        <f>"李琰君"</f>
        <v>李琰君</v>
      </c>
      <c r="D336" s="2" t="str">
        <f t="shared" si="29"/>
        <v>女</v>
      </c>
      <c r="E336" s="2" t="str">
        <f>"202209044313"</f>
        <v>202209044313</v>
      </c>
      <c r="F336" s="4">
        <v>76.4</v>
      </c>
      <c r="G336" s="4">
        <v>76</v>
      </c>
      <c r="H336" s="4">
        <f t="shared" si="30"/>
        <v>76.16</v>
      </c>
      <c r="I336" s="5" t="s">
        <v>28</v>
      </c>
    </row>
    <row r="337" spans="1:9" ht="14.25">
      <c r="A337" s="4">
        <v>335</v>
      </c>
      <c r="B337" s="2" t="s">
        <v>32</v>
      </c>
      <c r="C337" s="2" t="str">
        <f>"訾娴娴"</f>
        <v>訾娴娴</v>
      </c>
      <c r="D337" s="2" t="str">
        <f t="shared" si="29"/>
        <v>女</v>
      </c>
      <c r="E337" s="2" t="str">
        <f>"202209044312"</f>
        <v>202209044312</v>
      </c>
      <c r="F337" s="4">
        <v>61.7</v>
      </c>
      <c r="G337" s="4">
        <v>82</v>
      </c>
      <c r="H337" s="4">
        <f t="shared" si="30"/>
        <v>73.88</v>
      </c>
      <c r="I337" s="5" t="s">
        <v>28</v>
      </c>
    </row>
    <row r="338" spans="1:9" ht="14.25">
      <c r="A338" s="4">
        <v>336</v>
      </c>
      <c r="B338" s="2" t="s">
        <v>32</v>
      </c>
      <c r="C338" s="2" t="str">
        <f>"李龙玉"</f>
        <v>李龙玉</v>
      </c>
      <c r="D338" s="2" t="str">
        <f t="shared" si="29"/>
        <v>女</v>
      </c>
      <c r="E338" s="2" t="str">
        <f>"202209044309"</f>
        <v>202209044309</v>
      </c>
      <c r="F338" s="4">
        <v>76.3</v>
      </c>
      <c r="G338" s="4">
        <v>67</v>
      </c>
      <c r="H338" s="4">
        <f t="shared" si="30"/>
        <v>70.72</v>
      </c>
      <c r="I338" s="5" t="s">
        <v>28</v>
      </c>
    </row>
    <row r="339" spans="1:9" ht="14.25">
      <c r="A339" s="4">
        <v>337</v>
      </c>
      <c r="B339" s="2" t="s">
        <v>32</v>
      </c>
      <c r="C339" s="2" t="str">
        <f>"杨刘芳"</f>
        <v>杨刘芳</v>
      </c>
      <c r="D339" s="2" t="str">
        <f t="shared" si="29"/>
        <v>女</v>
      </c>
      <c r="E339" s="2" t="str">
        <f>"202209044315"</f>
        <v>202209044315</v>
      </c>
      <c r="F339" s="4">
        <v>74.10000000000001</v>
      </c>
      <c r="G339" s="4">
        <v>66</v>
      </c>
      <c r="H339" s="4">
        <f t="shared" si="30"/>
        <v>69.24000000000001</v>
      </c>
      <c r="I339" s="5" t="s">
        <v>28</v>
      </c>
    </row>
    <row r="340" spans="1:9" ht="14.25">
      <c r="A340" s="4">
        <v>338</v>
      </c>
      <c r="B340" s="2" t="s">
        <v>33</v>
      </c>
      <c r="C340" s="2" t="str">
        <f>"蒋桂玲"</f>
        <v>蒋桂玲</v>
      </c>
      <c r="D340" s="2" t="str">
        <f t="shared" si="29"/>
        <v>女</v>
      </c>
      <c r="E340" s="2" t="str">
        <f>"202209044329"</f>
        <v>202209044329</v>
      </c>
      <c r="F340" s="4">
        <v>78.5</v>
      </c>
      <c r="G340" s="4">
        <v>78</v>
      </c>
      <c r="H340" s="4">
        <f t="shared" si="30"/>
        <v>78.2</v>
      </c>
      <c r="I340" s="5" t="s">
        <v>28</v>
      </c>
    </row>
    <row r="341" spans="1:9" ht="14.25">
      <c r="A341" s="4">
        <v>339</v>
      </c>
      <c r="B341" s="2" t="s">
        <v>33</v>
      </c>
      <c r="C341" s="2" t="str">
        <f>"高赛赛"</f>
        <v>高赛赛</v>
      </c>
      <c r="D341" s="2" t="str">
        <f t="shared" si="29"/>
        <v>女</v>
      </c>
      <c r="E341" s="2" t="str">
        <f>"202209044321"</f>
        <v>202209044321</v>
      </c>
      <c r="F341" s="4">
        <v>68.1</v>
      </c>
      <c r="G341" s="4">
        <v>76</v>
      </c>
      <c r="H341" s="4">
        <f t="shared" si="30"/>
        <v>72.84</v>
      </c>
      <c r="I341" s="5" t="s">
        <v>28</v>
      </c>
    </row>
    <row r="342" spans="1:9" ht="14.25">
      <c r="A342" s="4">
        <v>340</v>
      </c>
      <c r="B342" s="2" t="s">
        <v>33</v>
      </c>
      <c r="C342" s="2" t="str">
        <f>"刘园园"</f>
        <v>刘园园</v>
      </c>
      <c r="D342" s="2" t="str">
        <f t="shared" si="29"/>
        <v>女</v>
      </c>
      <c r="E342" s="2" t="str">
        <f>"202209044327"</f>
        <v>202209044327</v>
      </c>
      <c r="F342" s="4">
        <v>70.80000000000001</v>
      </c>
      <c r="G342" s="4">
        <v>73</v>
      </c>
      <c r="H342" s="4">
        <f t="shared" si="30"/>
        <v>72.12</v>
      </c>
      <c r="I342" s="5" t="s">
        <v>28</v>
      </c>
    </row>
    <row r="343" spans="1:9" ht="14.25">
      <c r="A343" s="4">
        <v>341</v>
      </c>
      <c r="B343" s="2" t="s">
        <v>33</v>
      </c>
      <c r="C343" s="2" t="str">
        <f>"柴佳琪"</f>
        <v>柴佳琪</v>
      </c>
      <c r="D343" s="2" t="str">
        <f t="shared" si="29"/>
        <v>女</v>
      </c>
      <c r="E343" s="2" t="str">
        <f>"202209044322"</f>
        <v>202209044322</v>
      </c>
      <c r="F343" s="4">
        <v>63.3</v>
      </c>
      <c r="G343" s="4">
        <v>76</v>
      </c>
      <c r="H343" s="4">
        <f t="shared" si="30"/>
        <v>70.92</v>
      </c>
      <c r="I343" s="5" t="s">
        <v>28</v>
      </c>
    </row>
    <row r="344" spans="1:9" ht="14.25">
      <c r="A344" s="4">
        <v>342</v>
      </c>
      <c r="B344" s="2" t="s">
        <v>33</v>
      </c>
      <c r="C344" s="2" t="str">
        <f>"李定远"</f>
        <v>李定远</v>
      </c>
      <c r="D344" s="2" t="str">
        <f>"男"</f>
        <v>男</v>
      </c>
      <c r="E344" s="2" t="str">
        <f>"202209044323"</f>
        <v>202209044323</v>
      </c>
      <c r="F344" s="4">
        <v>47.7</v>
      </c>
      <c r="G344" s="4">
        <v>70</v>
      </c>
      <c r="H344" s="4">
        <f t="shared" si="30"/>
        <v>61.08</v>
      </c>
      <c r="I344" s="5" t="s">
        <v>28</v>
      </c>
    </row>
    <row r="345" spans="1:9" ht="14.25">
      <c r="A345" s="4">
        <v>343</v>
      </c>
      <c r="B345" s="2" t="s">
        <v>33</v>
      </c>
      <c r="C345" s="2" t="str">
        <f>"杨菊"</f>
        <v>杨菊</v>
      </c>
      <c r="D345" s="2" t="str">
        <f>"女"</f>
        <v>女</v>
      </c>
      <c r="E345" s="2" t="str">
        <f>"202209044324"</f>
        <v>202209044324</v>
      </c>
      <c r="F345" s="4">
        <v>55.8</v>
      </c>
      <c r="G345" s="4">
        <v>64</v>
      </c>
      <c r="H345" s="4">
        <f t="shared" si="30"/>
        <v>60.72</v>
      </c>
      <c r="I345" s="5" t="s">
        <v>28</v>
      </c>
    </row>
    <row r="346" spans="1:9" ht="14.25">
      <c r="A346" s="4">
        <v>344</v>
      </c>
      <c r="B346" s="2" t="s">
        <v>34</v>
      </c>
      <c r="C346" s="2" t="str">
        <f>"彭娟"</f>
        <v>彭娟</v>
      </c>
      <c r="D346" s="2" t="str">
        <f>"女"</f>
        <v>女</v>
      </c>
      <c r="E346" s="2" t="str">
        <f>"202209044408"</f>
        <v>202209044408</v>
      </c>
      <c r="F346" s="4">
        <v>79.5</v>
      </c>
      <c r="G346" s="4">
        <v>90</v>
      </c>
      <c r="H346" s="4">
        <f t="shared" si="30"/>
        <v>85.8</v>
      </c>
      <c r="I346" s="5" t="s">
        <v>28</v>
      </c>
    </row>
    <row r="347" spans="1:9" ht="14.25">
      <c r="A347" s="4">
        <v>345</v>
      </c>
      <c r="B347" s="2" t="s">
        <v>34</v>
      </c>
      <c r="C347" s="2" t="str">
        <f>"罗宛丽"</f>
        <v>罗宛丽</v>
      </c>
      <c r="D347" s="2" t="str">
        <f>"女"</f>
        <v>女</v>
      </c>
      <c r="E347" s="2" t="str">
        <f>"202209044415"</f>
        <v>202209044415</v>
      </c>
      <c r="F347" s="4">
        <v>79.7</v>
      </c>
      <c r="G347" s="4">
        <v>89</v>
      </c>
      <c r="H347" s="4">
        <f t="shared" si="30"/>
        <v>85.28</v>
      </c>
      <c r="I347" s="5" t="s">
        <v>28</v>
      </c>
    </row>
    <row r="348" spans="1:9" ht="14.25">
      <c r="A348" s="4">
        <v>346</v>
      </c>
      <c r="B348" s="2" t="s">
        <v>34</v>
      </c>
      <c r="C348" s="2" t="str">
        <f>"周子强"</f>
        <v>周子强</v>
      </c>
      <c r="D348" s="2" t="str">
        <f>"男"</f>
        <v>男</v>
      </c>
      <c r="E348" s="2" t="str">
        <f>"202209044407"</f>
        <v>202209044407</v>
      </c>
      <c r="F348" s="4">
        <v>76.2</v>
      </c>
      <c r="G348" s="4">
        <v>89</v>
      </c>
      <c r="H348" s="4">
        <f t="shared" si="30"/>
        <v>83.88</v>
      </c>
      <c r="I348" s="5" t="s">
        <v>28</v>
      </c>
    </row>
    <row r="349" spans="1:9" ht="14.25">
      <c r="A349" s="4">
        <v>347</v>
      </c>
      <c r="B349" s="2" t="s">
        <v>34</v>
      </c>
      <c r="C349" s="2" t="str">
        <f>"鲁梦蝶"</f>
        <v>鲁梦蝶</v>
      </c>
      <c r="D349" s="2" t="str">
        <f>"女"</f>
        <v>女</v>
      </c>
      <c r="E349" s="2" t="str">
        <f>"202209044414"</f>
        <v>202209044414</v>
      </c>
      <c r="F349" s="4">
        <v>75.2</v>
      </c>
      <c r="G349" s="4">
        <v>84</v>
      </c>
      <c r="H349" s="4">
        <f t="shared" si="30"/>
        <v>80.48</v>
      </c>
      <c r="I349" s="5" t="s">
        <v>28</v>
      </c>
    </row>
    <row r="350" spans="1:9" ht="14.25">
      <c r="A350" s="4">
        <v>348</v>
      </c>
      <c r="B350" s="2" t="s">
        <v>34</v>
      </c>
      <c r="C350" s="2" t="str">
        <f>"马作鲍"</f>
        <v>马作鲍</v>
      </c>
      <c r="D350" s="2" t="str">
        <f>"男"</f>
        <v>男</v>
      </c>
      <c r="E350" s="2" t="str">
        <f>"202209044418"</f>
        <v>202209044418</v>
      </c>
      <c r="F350" s="4">
        <v>70.1</v>
      </c>
      <c r="G350" s="4">
        <v>78</v>
      </c>
      <c r="H350" s="4">
        <f t="shared" si="30"/>
        <v>74.84</v>
      </c>
      <c r="I350" s="5" t="s">
        <v>28</v>
      </c>
    </row>
    <row r="351" spans="1:9" ht="14.25">
      <c r="A351" s="4">
        <v>349</v>
      </c>
      <c r="B351" s="2" t="s">
        <v>34</v>
      </c>
      <c r="C351" s="2" t="str">
        <f>"王棚"</f>
        <v>王棚</v>
      </c>
      <c r="D351" s="2" t="str">
        <f>"男"</f>
        <v>男</v>
      </c>
      <c r="E351" s="2" t="str">
        <f>"202209044417"</f>
        <v>202209044417</v>
      </c>
      <c r="F351" s="4">
        <v>54.1</v>
      </c>
      <c r="G351" s="4">
        <v>88</v>
      </c>
      <c r="H351" s="4">
        <f t="shared" si="30"/>
        <v>74.44</v>
      </c>
      <c r="I351" s="5" t="s">
        <v>28</v>
      </c>
    </row>
    <row r="352" spans="1:9" ht="14.25">
      <c r="A352" s="4">
        <v>350</v>
      </c>
      <c r="B352" s="2" t="s">
        <v>34</v>
      </c>
      <c r="C352" s="2" t="str">
        <f>"刘方方"</f>
        <v>刘方方</v>
      </c>
      <c r="D352" s="2" t="str">
        <f>"女"</f>
        <v>女</v>
      </c>
      <c r="E352" s="2" t="str">
        <f>"202209044410"</f>
        <v>202209044410</v>
      </c>
      <c r="F352" s="4">
        <v>58.1</v>
      </c>
      <c r="G352" s="4">
        <v>80</v>
      </c>
      <c r="H352" s="4">
        <f t="shared" si="30"/>
        <v>71.24000000000001</v>
      </c>
      <c r="I352" s="5" t="s">
        <v>28</v>
      </c>
    </row>
    <row r="353" spans="1:9" ht="14.25">
      <c r="A353" s="4">
        <v>351</v>
      </c>
      <c r="B353" s="2" t="s">
        <v>34</v>
      </c>
      <c r="C353" s="2" t="str">
        <f>"王法娟"</f>
        <v>王法娟</v>
      </c>
      <c r="D353" s="2" t="str">
        <f>"女"</f>
        <v>女</v>
      </c>
      <c r="E353" s="2" t="str">
        <f>"202209044412"</f>
        <v>202209044412</v>
      </c>
      <c r="F353" s="4">
        <v>63.00000000000001</v>
      </c>
      <c r="G353" s="4">
        <v>72</v>
      </c>
      <c r="H353" s="4">
        <f t="shared" si="30"/>
        <v>68.4</v>
      </c>
      <c r="I353" s="5" t="s">
        <v>28</v>
      </c>
    </row>
    <row r="354" spans="1:9" ht="14.25">
      <c r="A354" s="4">
        <v>352</v>
      </c>
      <c r="B354" s="2" t="s">
        <v>34</v>
      </c>
      <c r="C354" s="2" t="str">
        <f>"叶胜胜"</f>
        <v>叶胜胜</v>
      </c>
      <c r="D354" s="2" t="str">
        <f>"男"</f>
        <v>男</v>
      </c>
      <c r="E354" s="2" t="str">
        <f>"202209044409"</f>
        <v>202209044409</v>
      </c>
      <c r="F354" s="4">
        <v>61.5</v>
      </c>
      <c r="G354" s="4">
        <v>72</v>
      </c>
      <c r="H354" s="4">
        <f t="shared" si="30"/>
        <v>67.8</v>
      </c>
      <c r="I354" s="5" t="s">
        <v>28</v>
      </c>
    </row>
    <row r="355" spans="1:9" ht="14.25">
      <c r="A355" s="4">
        <v>353</v>
      </c>
      <c r="B355" s="2" t="s">
        <v>34</v>
      </c>
      <c r="C355" s="2" t="str">
        <f>"桑伟丽"</f>
        <v>桑伟丽</v>
      </c>
      <c r="D355" s="2" t="str">
        <f>"女"</f>
        <v>女</v>
      </c>
      <c r="E355" s="2" t="str">
        <f>"202209044406"</f>
        <v>202209044406</v>
      </c>
      <c r="F355" s="4">
        <v>52.3</v>
      </c>
      <c r="G355" s="4">
        <v>73</v>
      </c>
      <c r="H355" s="4">
        <f t="shared" si="30"/>
        <v>64.72</v>
      </c>
      <c r="I355" s="5" t="s">
        <v>28</v>
      </c>
    </row>
    <row r="356" spans="1:9" ht="14.25">
      <c r="A356" s="4">
        <v>354</v>
      </c>
      <c r="B356" s="2" t="s">
        <v>34</v>
      </c>
      <c r="C356" s="2" t="str">
        <f>"宋鑫蕊"</f>
        <v>宋鑫蕊</v>
      </c>
      <c r="D356" s="2" t="str">
        <f>"女"</f>
        <v>女</v>
      </c>
      <c r="E356" s="2" t="str">
        <f>"202209044411"</f>
        <v>202209044411</v>
      </c>
      <c r="F356" s="4">
        <v>61.7</v>
      </c>
      <c r="G356" s="4">
        <v>60</v>
      </c>
      <c r="H356" s="4">
        <f t="shared" si="30"/>
        <v>60.68000000000001</v>
      </c>
      <c r="I356" s="5" t="s">
        <v>28</v>
      </c>
    </row>
    <row r="357" spans="1:9" ht="14.25">
      <c r="A357" s="4">
        <v>355</v>
      </c>
      <c r="B357" s="2" t="s">
        <v>35</v>
      </c>
      <c r="C357" s="2" t="str">
        <f>"丁贤森"</f>
        <v>丁贤森</v>
      </c>
      <c r="D357" s="2" t="str">
        <f>"男"</f>
        <v>男</v>
      </c>
      <c r="E357" s="2" t="str">
        <f>"202209044503"</f>
        <v>202209044503</v>
      </c>
      <c r="F357" s="4">
        <v>73.2</v>
      </c>
      <c r="G357" s="4">
        <v>84</v>
      </c>
      <c r="H357" s="4">
        <f t="shared" si="30"/>
        <v>79.68</v>
      </c>
      <c r="I357" s="5" t="s">
        <v>28</v>
      </c>
    </row>
    <row r="358" spans="1:9" ht="14.25">
      <c r="A358" s="4">
        <v>356</v>
      </c>
      <c r="B358" s="2" t="s">
        <v>35</v>
      </c>
      <c r="C358" s="2" t="str">
        <f>"沈珍妮"</f>
        <v>沈珍妮</v>
      </c>
      <c r="D358" s="2" t="str">
        <f>"女"</f>
        <v>女</v>
      </c>
      <c r="E358" s="2" t="str">
        <f>"202209044504"</f>
        <v>202209044504</v>
      </c>
      <c r="F358" s="4">
        <v>68.9</v>
      </c>
      <c r="G358" s="4">
        <v>79</v>
      </c>
      <c r="H358" s="4">
        <f t="shared" si="30"/>
        <v>74.96000000000001</v>
      </c>
      <c r="I358" s="5" t="s">
        <v>28</v>
      </c>
    </row>
    <row r="359" spans="1:9" ht="14.25">
      <c r="A359" s="4">
        <v>357</v>
      </c>
      <c r="B359" s="2" t="s">
        <v>35</v>
      </c>
      <c r="C359" s="2" t="str">
        <f>"张天星"</f>
        <v>张天星</v>
      </c>
      <c r="D359" s="2" t="str">
        <f>"男"</f>
        <v>男</v>
      </c>
      <c r="E359" s="2" t="str">
        <f>"202209044507"</f>
        <v>202209044507</v>
      </c>
      <c r="F359" s="4">
        <v>66</v>
      </c>
      <c r="G359" s="4">
        <v>79</v>
      </c>
      <c r="H359" s="4">
        <f t="shared" si="30"/>
        <v>73.8</v>
      </c>
      <c r="I359" s="5" t="s">
        <v>28</v>
      </c>
    </row>
    <row r="360" spans="1:9" ht="14.25">
      <c r="A360" s="4">
        <v>358</v>
      </c>
      <c r="B360" s="2" t="s">
        <v>35</v>
      </c>
      <c r="C360" s="2" t="str">
        <f>"谢建勋"</f>
        <v>谢建勋</v>
      </c>
      <c r="D360" s="2" t="str">
        <f>"男"</f>
        <v>男</v>
      </c>
      <c r="E360" s="2" t="str">
        <f>"202209044505"</f>
        <v>202209044505</v>
      </c>
      <c r="F360" s="4">
        <v>58.6</v>
      </c>
      <c r="G360" s="4">
        <v>79</v>
      </c>
      <c r="H360" s="4">
        <f t="shared" si="30"/>
        <v>70.84</v>
      </c>
      <c r="I360" s="5" t="s">
        <v>28</v>
      </c>
    </row>
    <row r="361" spans="1:9" ht="14.25">
      <c r="A361" s="4">
        <v>359</v>
      </c>
      <c r="B361" s="2" t="s">
        <v>35</v>
      </c>
      <c r="C361" s="2" t="str">
        <f>"蔡亚婷"</f>
        <v>蔡亚婷</v>
      </c>
      <c r="D361" s="2" t="str">
        <f>"女"</f>
        <v>女</v>
      </c>
      <c r="E361" s="2" t="str">
        <f>"202209044508"</f>
        <v>202209044508</v>
      </c>
      <c r="F361" s="4">
        <v>56</v>
      </c>
      <c r="G361" s="4">
        <v>80</v>
      </c>
      <c r="H361" s="4">
        <f t="shared" si="30"/>
        <v>70.4</v>
      </c>
      <c r="I361" s="5" t="s">
        <v>28</v>
      </c>
    </row>
    <row r="362" spans="1:9" ht="14.25">
      <c r="A362" s="4">
        <v>360</v>
      </c>
      <c r="B362" s="2" t="s">
        <v>36</v>
      </c>
      <c r="C362" s="2" t="str">
        <f>"孙阳雨"</f>
        <v>孙阳雨</v>
      </c>
      <c r="D362" s="2" t="str">
        <f>"女"</f>
        <v>女</v>
      </c>
      <c r="E362" s="2" t="str">
        <f>"202209044422"</f>
        <v>202209044422</v>
      </c>
      <c r="F362" s="4">
        <v>78.10000000000001</v>
      </c>
      <c r="G362" s="4">
        <v>78</v>
      </c>
      <c r="H362" s="4">
        <f t="shared" si="30"/>
        <v>78.04</v>
      </c>
      <c r="I362" s="5" t="s">
        <v>28</v>
      </c>
    </row>
    <row r="363" spans="1:9" ht="14.25">
      <c r="A363" s="4">
        <v>361</v>
      </c>
      <c r="B363" s="2" t="s">
        <v>36</v>
      </c>
      <c r="C363" s="2" t="str">
        <f>"曾鹏辉"</f>
        <v>曾鹏辉</v>
      </c>
      <c r="D363" s="2" t="str">
        <f>"男"</f>
        <v>男</v>
      </c>
      <c r="E363" s="2" t="str">
        <f>"202209044427"</f>
        <v>202209044427</v>
      </c>
      <c r="F363" s="4">
        <v>69.1</v>
      </c>
      <c r="G363" s="4">
        <v>71</v>
      </c>
      <c r="H363" s="4">
        <f t="shared" si="30"/>
        <v>70.24000000000001</v>
      </c>
      <c r="I363" s="5" t="s">
        <v>28</v>
      </c>
    </row>
    <row r="364" spans="1:9" ht="14.25">
      <c r="A364" s="4">
        <v>362</v>
      </c>
      <c r="B364" s="2" t="s">
        <v>36</v>
      </c>
      <c r="C364" s="2" t="str">
        <f>"马晓雪"</f>
        <v>马晓雪</v>
      </c>
      <c r="D364" s="2" t="str">
        <f>"女"</f>
        <v>女</v>
      </c>
      <c r="E364" s="2" t="str">
        <f>"202209044423"</f>
        <v>202209044423</v>
      </c>
      <c r="F364" s="4">
        <v>72.9</v>
      </c>
      <c r="G364" s="4">
        <v>60</v>
      </c>
      <c r="H364" s="4">
        <f t="shared" si="30"/>
        <v>65.16</v>
      </c>
      <c r="I364" s="5" t="s">
        <v>28</v>
      </c>
    </row>
    <row r="365" spans="1:9" ht="14.25">
      <c r="A365" s="4">
        <v>363</v>
      </c>
      <c r="B365" s="2" t="s">
        <v>36</v>
      </c>
      <c r="C365" s="2" t="str">
        <f>"李常乐"</f>
        <v>李常乐</v>
      </c>
      <c r="D365" s="2" t="str">
        <f>"男"</f>
        <v>男</v>
      </c>
      <c r="E365" s="2" t="str">
        <f>"202209044425"</f>
        <v>202209044425</v>
      </c>
      <c r="F365" s="4">
        <v>61.8</v>
      </c>
      <c r="G365" s="4">
        <v>64</v>
      </c>
      <c r="H365" s="4">
        <f t="shared" si="30"/>
        <v>63.12</v>
      </c>
      <c r="I365" s="5" t="s">
        <v>28</v>
      </c>
    </row>
    <row r="366" spans="1:9" ht="14.25">
      <c r="A366" s="4">
        <v>364</v>
      </c>
      <c r="B366" s="2" t="s">
        <v>37</v>
      </c>
      <c r="C366" s="2" t="str">
        <f>"伍磊"</f>
        <v>伍磊</v>
      </c>
      <c r="D366" s="2" t="str">
        <f>"女"</f>
        <v>女</v>
      </c>
      <c r="E366" s="2" t="str">
        <f>"202209044512"</f>
        <v>202209044512</v>
      </c>
      <c r="F366" s="4">
        <v>76.5</v>
      </c>
      <c r="G366" s="4">
        <v>81.5</v>
      </c>
      <c r="H366" s="4">
        <f t="shared" si="30"/>
        <v>79.5</v>
      </c>
      <c r="I366" s="5" t="s">
        <v>28</v>
      </c>
    </row>
    <row r="367" spans="1:9" ht="14.25">
      <c r="A367" s="4">
        <v>365</v>
      </c>
      <c r="B367" s="2" t="s">
        <v>37</v>
      </c>
      <c r="C367" s="2" t="str">
        <f>"刘梦晴"</f>
        <v>刘梦晴</v>
      </c>
      <c r="D367" s="2" t="str">
        <f>"女"</f>
        <v>女</v>
      </c>
      <c r="E367" s="2" t="str">
        <f>"202209044511"</f>
        <v>202209044511</v>
      </c>
      <c r="F367" s="4">
        <v>60.5</v>
      </c>
      <c r="G367" s="4">
        <v>81</v>
      </c>
      <c r="H367" s="4">
        <f t="shared" si="30"/>
        <v>72.80000000000001</v>
      </c>
      <c r="I367" s="5" t="s">
        <v>28</v>
      </c>
    </row>
    <row r="368" spans="1:9" ht="14.25">
      <c r="A368" s="4">
        <v>366</v>
      </c>
      <c r="B368" s="2" t="s">
        <v>37</v>
      </c>
      <c r="C368" s="2" t="str">
        <f>"杜智慧"</f>
        <v>杜智慧</v>
      </c>
      <c r="D368" s="2" t="str">
        <f>"女"</f>
        <v>女</v>
      </c>
      <c r="E368" s="2" t="str">
        <f>"202209044513"</f>
        <v>202209044513</v>
      </c>
      <c r="F368" s="4">
        <v>69.30000000000001</v>
      </c>
      <c r="G368" s="4">
        <v>70.5</v>
      </c>
      <c r="H368" s="4">
        <f t="shared" si="30"/>
        <v>70.02000000000001</v>
      </c>
      <c r="I368" s="5" t="s">
        <v>28</v>
      </c>
    </row>
    <row r="369" spans="1:9" ht="14.25">
      <c r="A369" s="4">
        <v>367</v>
      </c>
      <c r="B369" s="2" t="s">
        <v>37</v>
      </c>
      <c r="C369" s="2" t="str">
        <f>"周彬"</f>
        <v>周彬</v>
      </c>
      <c r="D369" s="2" t="str">
        <f>"男"</f>
        <v>男</v>
      </c>
      <c r="E369" s="2" t="str">
        <f>"202209044515"</f>
        <v>202209044515</v>
      </c>
      <c r="F369" s="4">
        <v>54.1</v>
      </c>
      <c r="G369" s="4">
        <v>66.5</v>
      </c>
      <c r="H369" s="4">
        <f t="shared" si="30"/>
        <v>61.54</v>
      </c>
      <c r="I369" s="5" t="s">
        <v>28</v>
      </c>
    </row>
    <row r="370" spans="1:9" ht="14.25">
      <c r="A370" s="4">
        <v>368</v>
      </c>
      <c r="B370" s="2" t="s">
        <v>38</v>
      </c>
      <c r="C370" s="2" t="str">
        <f>"李玉如"</f>
        <v>李玉如</v>
      </c>
      <c r="D370" s="2" t="str">
        <f>"女"</f>
        <v>女</v>
      </c>
      <c r="E370" s="2" t="str">
        <f>"202209044604"</f>
        <v>202209044604</v>
      </c>
      <c r="F370" s="4">
        <v>59.7</v>
      </c>
      <c r="G370" s="4">
        <v>76</v>
      </c>
      <c r="H370" s="4">
        <f t="shared" si="30"/>
        <v>69.48</v>
      </c>
      <c r="I370" s="5" t="s">
        <v>28</v>
      </c>
    </row>
    <row r="371" spans="1:9" ht="14.25">
      <c r="A371" s="4">
        <v>369</v>
      </c>
      <c r="B371" s="2" t="s">
        <v>38</v>
      </c>
      <c r="C371" s="2" t="str">
        <f>"宋家豪"</f>
        <v>宋家豪</v>
      </c>
      <c r="D371" s="2" t="str">
        <f>"男"</f>
        <v>男</v>
      </c>
      <c r="E371" s="2" t="str">
        <f>"202209044603"</f>
        <v>202209044603</v>
      </c>
      <c r="F371" s="4">
        <v>65.3</v>
      </c>
      <c r="G371" s="4">
        <v>70</v>
      </c>
      <c r="H371" s="4">
        <f t="shared" si="30"/>
        <v>68.12</v>
      </c>
      <c r="I371" s="5" t="s">
        <v>28</v>
      </c>
    </row>
    <row r="372" spans="1:9" ht="14.25">
      <c r="A372" s="4">
        <v>370</v>
      </c>
      <c r="B372" s="2" t="s">
        <v>38</v>
      </c>
      <c r="C372" s="2" t="str">
        <f>"赵利利"</f>
        <v>赵利利</v>
      </c>
      <c r="D372" s="2" t="str">
        <f>"女"</f>
        <v>女</v>
      </c>
      <c r="E372" s="2" t="str">
        <f>"202209044605"</f>
        <v>202209044605</v>
      </c>
      <c r="F372" s="4">
        <v>62.1</v>
      </c>
      <c r="G372" s="4">
        <v>71</v>
      </c>
      <c r="H372" s="4">
        <f t="shared" si="30"/>
        <v>67.44</v>
      </c>
      <c r="I372" s="5" t="s">
        <v>28</v>
      </c>
    </row>
    <row r="373" spans="1:9" ht="14.25">
      <c r="A373" s="4">
        <v>371</v>
      </c>
      <c r="B373" s="2" t="s">
        <v>38</v>
      </c>
      <c r="C373" s="2" t="str">
        <f>"孙传家"</f>
        <v>孙传家</v>
      </c>
      <c r="D373" s="2" t="str">
        <f>"男"</f>
        <v>男</v>
      </c>
      <c r="E373" s="2" t="str">
        <f>"202209044602"</f>
        <v>202209044602</v>
      </c>
      <c r="F373" s="4">
        <v>60</v>
      </c>
      <c r="G373" s="4">
        <v>65</v>
      </c>
      <c r="H373" s="4">
        <f t="shared" si="30"/>
        <v>63</v>
      </c>
      <c r="I373" s="5" t="s">
        <v>28</v>
      </c>
    </row>
    <row r="374" spans="1:9" ht="14.25">
      <c r="A374" s="4">
        <v>372</v>
      </c>
      <c r="B374" s="2" t="s">
        <v>39</v>
      </c>
      <c r="C374" s="2" t="str">
        <f>"马田田"</f>
        <v>马田田</v>
      </c>
      <c r="D374" s="2" t="str">
        <f>"男"</f>
        <v>男</v>
      </c>
      <c r="E374" s="2" t="str">
        <f>"202209044606"</f>
        <v>202209044606</v>
      </c>
      <c r="F374" s="4">
        <v>66.80000000000001</v>
      </c>
      <c r="G374" s="4">
        <v>75</v>
      </c>
      <c r="H374" s="4">
        <f aca="true" t="shared" si="31" ref="H374:H387">G374*0.6+F374*0.4</f>
        <v>71.72</v>
      </c>
      <c r="I374" s="5" t="s">
        <v>28</v>
      </c>
    </row>
    <row r="375" spans="1:9" ht="14.25">
      <c r="A375" s="4">
        <v>373</v>
      </c>
      <c r="B375" s="2" t="s">
        <v>39</v>
      </c>
      <c r="C375" s="2" t="str">
        <f>"张雪勇"</f>
        <v>张雪勇</v>
      </c>
      <c r="D375" s="2" t="str">
        <f>"男"</f>
        <v>男</v>
      </c>
      <c r="E375" s="2" t="str">
        <f>"202209044616"</f>
        <v>202209044616</v>
      </c>
      <c r="F375" s="4">
        <v>67.2</v>
      </c>
      <c r="G375" s="4">
        <v>69</v>
      </c>
      <c r="H375" s="4">
        <f t="shared" si="31"/>
        <v>68.28</v>
      </c>
      <c r="I375" s="5" t="s">
        <v>28</v>
      </c>
    </row>
    <row r="376" spans="1:9" ht="14.25">
      <c r="A376" s="4">
        <v>374</v>
      </c>
      <c r="B376" s="2" t="s">
        <v>39</v>
      </c>
      <c r="C376" s="2" t="str">
        <f>"汪文豪"</f>
        <v>汪文豪</v>
      </c>
      <c r="D376" s="2" t="str">
        <f>"男"</f>
        <v>男</v>
      </c>
      <c r="E376" s="2" t="str">
        <f>"202209044620"</f>
        <v>202209044620</v>
      </c>
      <c r="F376" s="4">
        <v>69.3</v>
      </c>
      <c r="G376" s="4">
        <v>67</v>
      </c>
      <c r="H376" s="4">
        <f t="shared" si="31"/>
        <v>67.91999999999999</v>
      </c>
      <c r="I376" s="5" t="s">
        <v>28</v>
      </c>
    </row>
    <row r="377" spans="1:9" ht="14.25">
      <c r="A377" s="4">
        <v>375</v>
      </c>
      <c r="B377" s="2" t="s">
        <v>39</v>
      </c>
      <c r="C377" s="2" t="str">
        <f>"朱上领"</f>
        <v>朱上领</v>
      </c>
      <c r="D377" s="2" t="str">
        <f>"男"</f>
        <v>男</v>
      </c>
      <c r="E377" s="2" t="str">
        <f>"202209044607"</f>
        <v>202209044607</v>
      </c>
      <c r="F377" s="4">
        <v>61.9</v>
      </c>
      <c r="G377" s="4">
        <v>68</v>
      </c>
      <c r="H377" s="4">
        <f t="shared" si="31"/>
        <v>65.56</v>
      </c>
      <c r="I377" s="5" t="s">
        <v>28</v>
      </c>
    </row>
    <row r="378" spans="1:9" ht="14.25">
      <c r="A378" s="4">
        <v>376</v>
      </c>
      <c r="B378" s="2" t="s">
        <v>39</v>
      </c>
      <c r="C378" s="2" t="str">
        <f>"桑妮娜"</f>
        <v>桑妮娜</v>
      </c>
      <c r="D378" s="2" t="str">
        <f>"女"</f>
        <v>女</v>
      </c>
      <c r="E378" s="2" t="str">
        <f>"202209044611"</f>
        <v>202209044611</v>
      </c>
      <c r="F378" s="4">
        <v>67.7</v>
      </c>
      <c r="G378" s="4">
        <v>63</v>
      </c>
      <c r="H378" s="4">
        <f t="shared" si="31"/>
        <v>64.88</v>
      </c>
      <c r="I378" s="5" t="s">
        <v>28</v>
      </c>
    </row>
    <row r="379" spans="1:9" ht="14.25">
      <c r="A379" s="4">
        <v>377</v>
      </c>
      <c r="B379" s="2" t="s">
        <v>39</v>
      </c>
      <c r="C379" s="2" t="str">
        <f>"孙响响"</f>
        <v>孙响响</v>
      </c>
      <c r="D379" s="2" t="str">
        <f aca="true" t="shared" si="32" ref="D379:D384">"男"</f>
        <v>男</v>
      </c>
      <c r="E379" s="2" t="str">
        <f>"202209044610"</f>
        <v>202209044610</v>
      </c>
      <c r="F379" s="4">
        <v>59.900000000000006</v>
      </c>
      <c r="G379" s="4">
        <v>67</v>
      </c>
      <c r="H379" s="4">
        <f t="shared" si="31"/>
        <v>64.16</v>
      </c>
      <c r="I379" s="5" t="s">
        <v>28</v>
      </c>
    </row>
    <row r="380" spans="1:9" ht="14.25">
      <c r="A380" s="4">
        <v>378</v>
      </c>
      <c r="B380" s="2" t="s">
        <v>39</v>
      </c>
      <c r="C380" s="2" t="str">
        <f>"曹新然"</f>
        <v>曹新然</v>
      </c>
      <c r="D380" s="2" t="str">
        <f t="shared" si="32"/>
        <v>男</v>
      </c>
      <c r="E380" s="2" t="str">
        <f>"202209044615"</f>
        <v>202209044615</v>
      </c>
      <c r="F380" s="4">
        <v>57.900000000000006</v>
      </c>
      <c r="G380" s="4">
        <v>64</v>
      </c>
      <c r="H380" s="4">
        <f t="shared" si="31"/>
        <v>61.56</v>
      </c>
      <c r="I380" s="5" t="s">
        <v>28</v>
      </c>
    </row>
    <row r="381" spans="1:9" ht="14.25">
      <c r="A381" s="4">
        <v>379</v>
      </c>
      <c r="B381" s="2" t="s">
        <v>39</v>
      </c>
      <c r="C381" s="2" t="str">
        <f>"张雷"</f>
        <v>张雷</v>
      </c>
      <c r="D381" s="2" t="str">
        <f t="shared" si="32"/>
        <v>男</v>
      </c>
      <c r="E381" s="2" t="str">
        <f>"202209044627"</f>
        <v>202209044627</v>
      </c>
      <c r="F381" s="4">
        <v>61.1</v>
      </c>
      <c r="G381" s="4">
        <v>61</v>
      </c>
      <c r="H381" s="4">
        <f t="shared" si="31"/>
        <v>61.040000000000006</v>
      </c>
      <c r="I381" s="5" t="s">
        <v>28</v>
      </c>
    </row>
    <row r="382" spans="1:9" ht="14.25">
      <c r="A382" s="4">
        <v>380</v>
      </c>
      <c r="B382" s="2" t="s">
        <v>40</v>
      </c>
      <c r="C382" s="2" t="str">
        <f>"王生"</f>
        <v>王生</v>
      </c>
      <c r="D382" s="2" t="str">
        <f t="shared" si="32"/>
        <v>男</v>
      </c>
      <c r="E382" s="2" t="str">
        <f>"202209044519"</f>
        <v>202209044519</v>
      </c>
      <c r="F382" s="4">
        <v>80.5</v>
      </c>
      <c r="G382" s="4">
        <v>97</v>
      </c>
      <c r="H382" s="4">
        <f t="shared" si="31"/>
        <v>90.4</v>
      </c>
      <c r="I382" s="5" t="s">
        <v>28</v>
      </c>
    </row>
    <row r="383" spans="1:9" ht="14.25">
      <c r="A383" s="4">
        <v>381</v>
      </c>
      <c r="B383" s="2" t="s">
        <v>40</v>
      </c>
      <c r="C383" s="2" t="str">
        <f>"甄逍遥"</f>
        <v>甄逍遥</v>
      </c>
      <c r="D383" s="2" t="str">
        <f t="shared" si="32"/>
        <v>男</v>
      </c>
      <c r="E383" s="2" t="str">
        <f>"202209044517"</f>
        <v>202209044517</v>
      </c>
      <c r="F383" s="4">
        <v>76.6</v>
      </c>
      <c r="G383" s="4">
        <v>94</v>
      </c>
      <c r="H383" s="4">
        <f t="shared" si="31"/>
        <v>87.03999999999999</v>
      </c>
      <c r="I383" s="5" t="s">
        <v>28</v>
      </c>
    </row>
    <row r="384" spans="1:9" ht="14.25">
      <c r="A384" s="4">
        <v>382</v>
      </c>
      <c r="B384" s="2" t="s">
        <v>40</v>
      </c>
      <c r="C384" s="2" t="str">
        <f>"尤烨烜"</f>
        <v>尤烨烜</v>
      </c>
      <c r="D384" s="2" t="str">
        <f t="shared" si="32"/>
        <v>男</v>
      </c>
      <c r="E384" s="2" t="str">
        <f>"202209044518"</f>
        <v>202209044518</v>
      </c>
      <c r="F384" s="4">
        <v>76</v>
      </c>
      <c r="G384" s="4">
        <v>93.5</v>
      </c>
      <c r="H384" s="4">
        <f t="shared" si="31"/>
        <v>86.5</v>
      </c>
      <c r="I384" s="5" t="s">
        <v>28</v>
      </c>
    </row>
    <row r="385" spans="1:9" ht="14.25">
      <c r="A385" s="4">
        <v>383</v>
      </c>
      <c r="B385" s="2" t="s">
        <v>40</v>
      </c>
      <c r="C385" s="2" t="str">
        <f>"王暑梦"</f>
        <v>王暑梦</v>
      </c>
      <c r="D385" s="2" t="str">
        <f>"女"</f>
        <v>女</v>
      </c>
      <c r="E385" s="2" t="str">
        <f>"202209044106"</f>
        <v>202209044106</v>
      </c>
      <c r="F385" s="4">
        <v>74.9</v>
      </c>
      <c r="G385" s="4">
        <v>94</v>
      </c>
      <c r="H385" s="4">
        <f t="shared" si="31"/>
        <v>86.36</v>
      </c>
      <c r="I385" s="5" t="s">
        <v>28</v>
      </c>
    </row>
    <row r="386" spans="1:9" ht="14.25">
      <c r="A386" s="4">
        <v>384</v>
      </c>
      <c r="B386" s="2" t="s">
        <v>40</v>
      </c>
      <c r="C386" s="2" t="str">
        <f>"徐培培"</f>
        <v>徐培培</v>
      </c>
      <c r="D386" s="2" t="str">
        <f>"女"</f>
        <v>女</v>
      </c>
      <c r="E386" s="2" t="str">
        <f>"202209044109"</f>
        <v>202209044109</v>
      </c>
      <c r="F386" s="4">
        <v>78.1</v>
      </c>
      <c r="G386" s="4">
        <v>91</v>
      </c>
      <c r="H386" s="4">
        <f t="shared" si="31"/>
        <v>85.84</v>
      </c>
      <c r="I386" s="5" t="s">
        <v>28</v>
      </c>
    </row>
    <row r="387" spans="1:9" ht="14.25">
      <c r="A387" s="4">
        <v>385</v>
      </c>
      <c r="B387" s="2" t="s">
        <v>40</v>
      </c>
      <c r="C387" s="2" t="str">
        <f>"刘祎妮"</f>
        <v>刘祎妮</v>
      </c>
      <c r="D387" s="2" t="str">
        <f>"女"</f>
        <v>女</v>
      </c>
      <c r="E387" s="2" t="str">
        <f>"202209044116"</f>
        <v>202209044116</v>
      </c>
      <c r="F387" s="4">
        <v>75.30000000000001</v>
      </c>
      <c r="G387" s="4">
        <v>90.5</v>
      </c>
      <c r="H387" s="4">
        <f t="shared" si="31"/>
        <v>84.42</v>
      </c>
      <c r="I387" s="5" t="s">
        <v>28</v>
      </c>
    </row>
    <row r="388" spans="1:9" ht="14.25">
      <c r="A388" s="4">
        <v>386</v>
      </c>
      <c r="B388" s="2" t="s">
        <v>41</v>
      </c>
      <c r="C388" s="2" t="str">
        <f>"方琴"</f>
        <v>方琴</v>
      </c>
      <c r="D388" s="2" t="str">
        <f>"女"</f>
        <v>女</v>
      </c>
      <c r="E388" s="2" t="str">
        <f>"202209044223"</f>
        <v>202209044223</v>
      </c>
      <c r="F388" s="4">
        <v>75.80000000000001</v>
      </c>
      <c r="G388" s="4">
        <v>73</v>
      </c>
      <c r="H388" s="4">
        <f aca="true" t="shared" si="33" ref="H388:H403">G388*0.6+F388*0.4</f>
        <v>74.12</v>
      </c>
      <c r="I388" s="5" t="s">
        <v>20</v>
      </c>
    </row>
    <row r="389" spans="1:9" ht="14.25">
      <c r="A389" s="4">
        <v>387</v>
      </c>
      <c r="B389" s="2" t="s">
        <v>41</v>
      </c>
      <c r="C389" s="2" t="str">
        <f>"章香月"</f>
        <v>章香月</v>
      </c>
      <c r="D389" s="2" t="str">
        <f>"女"</f>
        <v>女</v>
      </c>
      <c r="E389" s="2" t="str">
        <f>"202209044216"</f>
        <v>202209044216</v>
      </c>
      <c r="F389" s="4">
        <v>67.4</v>
      </c>
      <c r="G389" s="4">
        <v>75</v>
      </c>
      <c r="H389" s="4">
        <f t="shared" si="33"/>
        <v>71.96000000000001</v>
      </c>
      <c r="I389" s="5" t="s">
        <v>20</v>
      </c>
    </row>
    <row r="390" spans="1:9" ht="14.25">
      <c r="A390" s="4">
        <v>388</v>
      </c>
      <c r="B390" s="2" t="s">
        <v>41</v>
      </c>
      <c r="C390" s="2" t="str">
        <f>"汤洋洋"</f>
        <v>汤洋洋</v>
      </c>
      <c r="D390" s="2" t="str">
        <f>"男"</f>
        <v>男</v>
      </c>
      <c r="E390" s="2" t="str">
        <f>"202209044224"</f>
        <v>202209044224</v>
      </c>
      <c r="F390" s="4">
        <v>63.3</v>
      </c>
      <c r="G390" s="4">
        <v>76</v>
      </c>
      <c r="H390" s="4">
        <f t="shared" si="33"/>
        <v>70.92</v>
      </c>
      <c r="I390" s="5" t="s">
        <v>20</v>
      </c>
    </row>
    <row r="391" spans="1:9" ht="14.25">
      <c r="A391" s="4">
        <v>389</v>
      </c>
      <c r="B391" s="2" t="s">
        <v>41</v>
      </c>
      <c r="C391" s="2" t="str">
        <f>"郭玲玲"</f>
        <v>郭玲玲</v>
      </c>
      <c r="D391" s="2" t="str">
        <f aca="true" t="shared" si="34" ref="D391:D398">"女"</f>
        <v>女</v>
      </c>
      <c r="E391" s="2" t="str">
        <f>"202209044214"</f>
        <v>202209044214</v>
      </c>
      <c r="F391" s="4">
        <v>70.5</v>
      </c>
      <c r="G391" s="4">
        <v>71</v>
      </c>
      <c r="H391" s="4">
        <f t="shared" si="33"/>
        <v>70.80000000000001</v>
      </c>
      <c r="I391" s="5" t="s">
        <v>20</v>
      </c>
    </row>
    <row r="392" spans="1:9" ht="14.25">
      <c r="A392" s="4">
        <v>390</v>
      </c>
      <c r="B392" s="2" t="s">
        <v>41</v>
      </c>
      <c r="C392" s="2" t="str">
        <f>"郭盈盈"</f>
        <v>郭盈盈</v>
      </c>
      <c r="D392" s="2" t="str">
        <f t="shared" si="34"/>
        <v>女</v>
      </c>
      <c r="E392" s="2" t="str">
        <f>"202209044217"</f>
        <v>202209044217</v>
      </c>
      <c r="F392" s="4">
        <v>60.8</v>
      </c>
      <c r="G392" s="4">
        <v>71</v>
      </c>
      <c r="H392" s="4">
        <f t="shared" si="33"/>
        <v>66.92</v>
      </c>
      <c r="I392" s="5" t="s">
        <v>20</v>
      </c>
    </row>
    <row r="393" spans="1:9" ht="14.25">
      <c r="A393" s="4">
        <v>391</v>
      </c>
      <c r="B393" s="2" t="s">
        <v>41</v>
      </c>
      <c r="C393" s="2" t="str">
        <f>"王倩"</f>
        <v>王倩</v>
      </c>
      <c r="D393" s="2" t="str">
        <f t="shared" si="34"/>
        <v>女</v>
      </c>
      <c r="E393" s="2" t="str">
        <f>"202209044222"</f>
        <v>202209044222</v>
      </c>
      <c r="F393" s="4">
        <v>53.8</v>
      </c>
      <c r="G393" s="4">
        <v>75</v>
      </c>
      <c r="H393" s="4">
        <f t="shared" si="33"/>
        <v>66.52</v>
      </c>
      <c r="I393" s="5" t="s">
        <v>20</v>
      </c>
    </row>
    <row r="394" spans="1:9" ht="14.25">
      <c r="A394" s="4">
        <v>392</v>
      </c>
      <c r="B394" s="2" t="s">
        <v>41</v>
      </c>
      <c r="C394" s="2" t="str">
        <f>"袁梦洁"</f>
        <v>袁梦洁</v>
      </c>
      <c r="D394" s="2" t="str">
        <f t="shared" si="34"/>
        <v>女</v>
      </c>
      <c r="E394" s="2" t="str">
        <f>"202209044220"</f>
        <v>202209044220</v>
      </c>
      <c r="F394" s="4">
        <v>53.8</v>
      </c>
      <c r="G394" s="4">
        <v>74</v>
      </c>
      <c r="H394" s="4">
        <f t="shared" si="33"/>
        <v>65.92</v>
      </c>
      <c r="I394" s="5" t="s">
        <v>20</v>
      </c>
    </row>
    <row r="395" spans="1:9" ht="14.25">
      <c r="A395" s="4">
        <v>393</v>
      </c>
      <c r="B395" s="2" t="s">
        <v>41</v>
      </c>
      <c r="C395" s="2" t="str">
        <f>"徐男男"</f>
        <v>徐男男</v>
      </c>
      <c r="D395" s="2" t="str">
        <f t="shared" si="34"/>
        <v>女</v>
      </c>
      <c r="E395" s="2" t="str">
        <f>"202209044221"</f>
        <v>202209044221</v>
      </c>
      <c r="F395" s="4">
        <v>73.2</v>
      </c>
      <c r="G395" s="4">
        <v>61</v>
      </c>
      <c r="H395" s="4">
        <f t="shared" si="33"/>
        <v>65.88</v>
      </c>
      <c r="I395" s="5" t="s">
        <v>20</v>
      </c>
    </row>
    <row r="396" spans="1:9" ht="14.25">
      <c r="A396" s="4">
        <v>394</v>
      </c>
      <c r="B396" s="2" t="s">
        <v>41</v>
      </c>
      <c r="C396" s="2" t="str">
        <f>"穆雪莲"</f>
        <v>穆雪莲</v>
      </c>
      <c r="D396" s="2" t="str">
        <f t="shared" si="34"/>
        <v>女</v>
      </c>
      <c r="E396" s="2" t="str">
        <f>"202209044219"</f>
        <v>202209044219</v>
      </c>
      <c r="F396" s="4">
        <v>57.1</v>
      </c>
      <c r="G396" s="4">
        <v>71</v>
      </c>
      <c r="H396" s="4">
        <f t="shared" si="33"/>
        <v>65.44</v>
      </c>
      <c r="I396" s="5" t="s">
        <v>20</v>
      </c>
    </row>
    <row r="397" spans="1:9" ht="14.25">
      <c r="A397" s="4">
        <v>395</v>
      </c>
      <c r="B397" s="2" t="s">
        <v>41</v>
      </c>
      <c r="C397" s="2" t="str">
        <f>"代停停"</f>
        <v>代停停</v>
      </c>
      <c r="D397" s="2" t="str">
        <f t="shared" si="34"/>
        <v>女</v>
      </c>
      <c r="E397" s="2" t="str">
        <f>"202209044215"</f>
        <v>202209044215</v>
      </c>
      <c r="F397" s="4">
        <v>52.3</v>
      </c>
      <c r="G397" s="4">
        <v>74</v>
      </c>
      <c r="H397" s="4">
        <f t="shared" si="33"/>
        <v>65.32</v>
      </c>
      <c r="I397" s="5" t="s">
        <v>20</v>
      </c>
    </row>
    <row r="398" spans="1:9" ht="14.25">
      <c r="A398" s="4">
        <v>396</v>
      </c>
      <c r="B398" s="2" t="s">
        <v>42</v>
      </c>
      <c r="C398" s="2" t="str">
        <f>"石婉琪"</f>
        <v>石婉琪</v>
      </c>
      <c r="D398" s="2" t="str">
        <f t="shared" si="34"/>
        <v>女</v>
      </c>
      <c r="E398" s="2" t="str">
        <f>"202209043823"</f>
        <v>202209043823</v>
      </c>
      <c r="F398" s="4">
        <v>58</v>
      </c>
      <c r="G398" s="4">
        <v>83</v>
      </c>
      <c r="H398" s="4">
        <f t="shared" si="33"/>
        <v>73</v>
      </c>
      <c r="I398" s="5" t="s">
        <v>20</v>
      </c>
    </row>
    <row r="399" spans="1:9" ht="14.25">
      <c r="A399" s="4">
        <v>397</v>
      </c>
      <c r="B399" s="2" t="s">
        <v>42</v>
      </c>
      <c r="C399" s="2" t="str">
        <f>"高新武"</f>
        <v>高新武</v>
      </c>
      <c r="D399" s="2" t="str">
        <f>"男"</f>
        <v>男</v>
      </c>
      <c r="E399" s="2" t="str">
        <f>"202209043822"</f>
        <v>202209043822</v>
      </c>
      <c r="F399" s="4">
        <v>65.80000000000001</v>
      </c>
      <c r="G399" s="4">
        <v>74</v>
      </c>
      <c r="H399" s="4">
        <f t="shared" si="33"/>
        <v>70.72</v>
      </c>
      <c r="I399" s="5" t="s">
        <v>20</v>
      </c>
    </row>
    <row r="400" spans="1:9" ht="14.25">
      <c r="A400" s="4">
        <v>398</v>
      </c>
      <c r="B400" s="2" t="s">
        <v>43</v>
      </c>
      <c r="C400" s="2" t="str">
        <f>"吴浩"</f>
        <v>吴浩</v>
      </c>
      <c r="D400" s="2" t="str">
        <f>"男"</f>
        <v>男</v>
      </c>
      <c r="E400" s="2" t="str">
        <f>"202209043828"</f>
        <v>202209043828</v>
      </c>
      <c r="F400" s="4">
        <v>79.10000000000001</v>
      </c>
      <c r="G400" s="4">
        <v>82</v>
      </c>
      <c r="H400" s="4">
        <f t="shared" si="33"/>
        <v>80.84</v>
      </c>
      <c r="I400" s="5" t="s">
        <v>20</v>
      </c>
    </row>
    <row r="401" spans="1:9" ht="14.25">
      <c r="A401" s="4">
        <v>399</v>
      </c>
      <c r="B401" s="2" t="s">
        <v>43</v>
      </c>
      <c r="C401" s="2" t="str">
        <f>"徐萍"</f>
        <v>徐萍</v>
      </c>
      <c r="D401" s="2" t="str">
        <f>"女"</f>
        <v>女</v>
      </c>
      <c r="E401" s="2" t="str">
        <f>"202209043829"</f>
        <v>202209043829</v>
      </c>
      <c r="F401" s="4">
        <v>72.9</v>
      </c>
      <c r="G401" s="4">
        <v>86</v>
      </c>
      <c r="H401" s="4">
        <f t="shared" si="33"/>
        <v>80.76</v>
      </c>
      <c r="I401" s="5" t="s">
        <v>20</v>
      </c>
    </row>
    <row r="402" spans="1:9" ht="14.25">
      <c r="A402" s="4">
        <v>400</v>
      </c>
      <c r="B402" s="2" t="s">
        <v>43</v>
      </c>
      <c r="C402" s="2" t="str">
        <f>"黄玲玲"</f>
        <v>黄玲玲</v>
      </c>
      <c r="D402" s="2" t="str">
        <f>"女"</f>
        <v>女</v>
      </c>
      <c r="E402" s="2" t="str">
        <f>"202209043824"</f>
        <v>202209043824</v>
      </c>
      <c r="F402" s="4">
        <v>66.9</v>
      </c>
      <c r="G402" s="4">
        <v>88</v>
      </c>
      <c r="H402" s="4">
        <f t="shared" si="33"/>
        <v>79.56</v>
      </c>
      <c r="I402" s="5" t="s">
        <v>20</v>
      </c>
    </row>
    <row r="403" spans="1:9" ht="14.25">
      <c r="A403" s="4">
        <v>401</v>
      </c>
      <c r="B403" s="2" t="s">
        <v>43</v>
      </c>
      <c r="C403" s="2" t="str">
        <f>"顾宝全"</f>
        <v>顾宝全</v>
      </c>
      <c r="D403" s="2" t="str">
        <f>"男"</f>
        <v>男</v>
      </c>
      <c r="E403" s="2" t="str">
        <f>"202209043826"</f>
        <v>202209043826</v>
      </c>
      <c r="F403" s="4">
        <v>73.2</v>
      </c>
      <c r="G403" s="4">
        <v>82</v>
      </c>
      <c r="H403" s="4">
        <f t="shared" si="33"/>
        <v>78.47999999999999</v>
      </c>
      <c r="I403" s="5" t="s">
        <v>20</v>
      </c>
    </row>
    <row r="404" spans="1:9" ht="14.25">
      <c r="A404" s="4">
        <v>402</v>
      </c>
      <c r="B404" s="2" t="s">
        <v>43</v>
      </c>
      <c r="C404" s="2" t="str">
        <f>"罗丹丹"</f>
        <v>罗丹丹</v>
      </c>
      <c r="D404" s="2" t="str">
        <f aca="true" t="shared" si="35" ref="D404:D411">"女"</f>
        <v>女</v>
      </c>
      <c r="E404" s="2" t="str">
        <f>"202209043830"</f>
        <v>202209043830</v>
      </c>
      <c r="F404" s="4">
        <v>69.60000000000001</v>
      </c>
      <c r="G404" s="4">
        <v>79</v>
      </c>
      <c r="H404" s="4">
        <f aca="true" t="shared" si="36" ref="H404:H416">G404*0.6+F404*0.4</f>
        <v>75.24000000000001</v>
      </c>
      <c r="I404" s="5" t="s">
        <v>20</v>
      </c>
    </row>
    <row r="405" spans="1:9" ht="14.25">
      <c r="A405" s="4">
        <v>403</v>
      </c>
      <c r="B405" s="2" t="s">
        <v>43</v>
      </c>
      <c r="C405" s="2" t="str">
        <f>"赵雪艳"</f>
        <v>赵雪艳</v>
      </c>
      <c r="D405" s="2" t="str">
        <f t="shared" si="35"/>
        <v>女</v>
      </c>
      <c r="E405" s="2" t="str">
        <f>"202209043827"</f>
        <v>202209043827</v>
      </c>
      <c r="F405" s="4">
        <v>69.2</v>
      </c>
      <c r="G405" s="4">
        <v>76</v>
      </c>
      <c r="H405" s="4">
        <f t="shared" si="36"/>
        <v>73.28</v>
      </c>
      <c r="I405" s="5" t="s">
        <v>20</v>
      </c>
    </row>
    <row r="406" spans="1:9" ht="14.25">
      <c r="A406" s="4">
        <v>404</v>
      </c>
      <c r="B406" s="2" t="s">
        <v>43</v>
      </c>
      <c r="C406" s="2" t="str">
        <f>"孙晓莹"</f>
        <v>孙晓莹</v>
      </c>
      <c r="D406" s="2" t="str">
        <f t="shared" si="35"/>
        <v>女</v>
      </c>
      <c r="E406" s="2" t="str">
        <f>"202209043825"</f>
        <v>202209043825</v>
      </c>
      <c r="F406" s="4">
        <v>68.30000000000001</v>
      </c>
      <c r="G406" s="4">
        <v>70</v>
      </c>
      <c r="H406" s="4">
        <f t="shared" si="36"/>
        <v>69.32000000000001</v>
      </c>
      <c r="I406" s="5" t="s">
        <v>20</v>
      </c>
    </row>
    <row r="407" spans="1:9" ht="14.25">
      <c r="A407" s="4">
        <v>405</v>
      </c>
      <c r="B407" s="2" t="s">
        <v>44</v>
      </c>
      <c r="C407" s="2" t="str">
        <f>"尤湘湘"</f>
        <v>尤湘湘</v>
      </c>
      <c r="D407" s="2" t="str">
        <f t="shared" si="35"/>
        <v>女</v>
      </c>
      <c r="E407" s="2" t="str">
        <f>"202209044303"</f>
        <v>202209044303</v>
      </c>
      <c r="F407" s="4">
        <v>71.10000000000001</v>
      </c>
      <c r="G407" s="4">
        <v>77</v>
      </c>
      <c r="H407" s="4">
        <f t="shared" si="36"/>
        <v>74.64</v>
      </c>
      <c r="I407" s="5" t="s">
        <v>20</v>
      </c>
    </row>
    <row r="408" spans="1:9" ht="14.25">
      <c r="A408" s="4">
        <v>406</v>
      </c>
      <c r="B408" s="2" t="s">
        <v>44</v>
      </c>
      <c r="C408" s="2" t="str">
        <f>"苏思敏"</f>
        <v>苏思敏</v>
      </c>
      <c r="D408" s="2" t="str">
        <f t="shared" si="35"/>
        <v>女</v>
      </c>
      <c r="E408" s="2" t="str">
        <f>"202209044306"</f>
        <v>202209044306</v>
      </c>
      <c r="F408" s="4">
        <v>69.4</v>
      </c>
      <c r="G408" s="4">
        <v>74</v>
      </c>
      <c r="H408" s="4">
        <f t="shared" si="36"/>
        <v>72.16</v>
      </c>
      <c r="I408" s="5" t="s">
        <v>20</v>
      </c>
    </row>
    <row r="409" spans="1:9" ht="14.25">
      <c r="A409" s="4">
        <v>407</v>
      </c>
      <c r="B409" s="2" t="s">
        <v>44</v>
      </c>
      <c r="C409" s="2" t="str">
        <f>"唐玉婷"</f>
        <v>唐玉婷</v>
      </c>
      <c r="D409" s="2" t="str">
        <f t="shared" si="35"/>
        <v>女</v>
      </c>
      <c r="E409" s="2" t="str">
        <f>"202209044304"</f>
        <v>202209044304</v>
      </c>
      <c r="F409" s="4">
        <v>64.5</v>
      </c>
      <c r="G409" s="4">
        <v>71</v>
      </c>
      <c r="H409" s="4">
        <f t="shared" si="36"/>
        <v>68.4</v>
      </c>
      <c r="I409" s="5" t="s">
        <v>20</v>
      </c>
    </row>
    <row r="410" spans="1:9" ht="14.25">
      <c r="A410" s="4">
        <v>408</v>
      </c>
      <c r="B410" s="2" t="s">
        <v>44</v>
      </c>
      <c r="C410" s="2" t="str">
        <f>"王颜颜"</f>
        <v>王颜颜</v>
      </c>
      <c r="D410" s="2" t="str">
        <f t="shared" si="35"/>
        <v>女</v>
      </c>
      <c r="E410" s="2" t="str">
        <f>"202209044305"</f>
        <v>202209044305</v>
      </c>
      <c r="F410" s="4">
        <v>55.8</v>
      </c>
      <c r="G410" s="4">
        <v>72</v>
      </c>
      <c r="H410" s="4">
        <f t="shared" si="36"/>
        <v>65.52</v>
      </c>
      <c r="I410" s="5" t="s">
        <v>20</v>
      </c>
    </row>
    <row r="411" spans="1:9" ht="14.25">
      <c r="A411" s="4">
        <v>409</v>
      </c>
      <c r="B411" s="2" t="s">
        <v>44</v>
      </c>
      <c r="C411" s="2" t="str">
        <f>"王晨晨"</f>
        <v>王晨晨</v>
      </c>
      <c r="D411" s="2" t="str">
        <f t="shared" si="35"/>
        <v>女</v>
      </c>
      <c r="E411" s="2" t="str">
        <f>"202209044307"</f>
        <v>202209044307</v>
      </c>
      <c r="F411" s="4">
        <v>54.900000000000006</v>
      </c>
      <c r="G411" s="4">
        <v>66</v>
      </c>
      <c r="H411" s="4">
        <f t="shared" si="36"/>
        <v>61.56</v>
      </c>
      <c r="I411" s="5" t="s">
        <v>20</v>
      </c>
    </row>
    <row r="412" spans="1:9" ht="14.25">
      <c r="A412" s="4">
        <v>410</v>
      </c>
      <c r="B412" s="2" t="s">
        <v>45</v>
      </c>
      <c r="C412" s="2" t="str">
        <f>"陶康"</f>
        <v>陶康</v>
      </c>
      <c r="D412" s="2" t="str">
        <f>"男"</f>
        <v>男</v>
      </c>
      <c r="E412" s="2" t="str">
        <f>"202209044420"</f>
        <v>202209044420</v>
      </c>
      <c r="F412" s="4">
        <v>58</v>
      </c>
      <c r="G412" s="4">
        <v>78</v>
      </c>
      <c r="H412" s="4">
        <f t="shared" si="36"/>
        <v>70</v>
      </c>
      <c r="I412" s="5" t="s">
        <v>20</v>
      </c>
    </row>
    <row r="413" spans="1:9" ht="14.25">
      <c r="A413" s="4">
        <v>411</v>
      </c>
      <c r="B413" s="2" t="s">
        <v>46</v>
      </c>
      <c r="C413" s="2" t="str">
        <f>"葛先君"</f>
        <v>葛先君</v>
      </c>
      <c r="D413" s="2" t="str">
        <f>"男"</f>
        <v>男</v>
      </c>
      <c r="E413" s="2" t="str">
        <f>"202209044430"</f>
        <v>202209044430</v>
      </c>
      <c r="F413" s="4">
        <v>57.2</v>
      </c>
      <c r="G413" s="4">
        <v>69</v>
      </c>
      <c r="H413" s="4">
        <f t="shared" si="36"/>
        <v>64.28</v>
      </c>
      <c r="I413" s="5" t="s">
        <v>20</v>
      </c>
    </row>
    <row r="414" spans="1:9" ht="14.25">
      <c r="A414" s="4">
        <v>412</v>
      </c>
      <c r="B414" s="2" t="s">
        <v>47</v>
      </c>
      <c r="C414" s="2" t="str">
        <f>"陈家发"</f>
        <v>陈家发</v>
      </c>
      <c r="D414" s="2" t="str">
        <f>"男"</f>
        <v>男</v>
      </c>
      <c r="E414" s="2" t="str">
        <f>"202209044516"</f>
        <v>202209044516</v>
      </c>
      <c r="F414" s="4">
        <v>52.2</v>
      </c>
      <c r="G414" s="4">
        <v>72</v>
      </c>
      <c r="H414" s="4">
        <f t="shared" si="36"/>
        <v>64.08</v>
      </c>
      <c r="I414" s="5" t="s">
        <v>20</v>
      </c>
    </row>
    <row r="415" spans="1:9" ht="14.25">
      <c r="A415" s="4">
        <v>413</v>
      </c>
      <c r="B415" s="2" t="s">
        <v>48</v>
      </c>
      <c r="C415" s="2" t="str">
        <f>"刘娜"</f>
        <v>刘娜</v>
      </c>
      <c r="D415" s="2" t="str">
        <f>"女"</f>
        <v>女</v>
      </c>
      <c r="E415" s="2" t="str">
        <f>"202209044502"</f>
        <v>202209044502</v>
      </c>
      <c r="F415" s="4">
        <v>75.3</v>
      </c>
      <c r="G415" s="4">
        <v>74</v>
      </c>
      <c r="H415" s="4">
        <f t="shared" si="36"/>
        <v>74.52</v>
      </c>
      <c r="I415" s="5" t="s">
        <v>20</v>
      </c>
    </row>
    <row r="416" spans="1:9" ht="14.25">
      <c r="A416" s="4">
        <v>414</v>
      </c>
      <c r="B416" s="2" t="s">
        <v>48</v>
      </c>
      <c r="C416" s="2" t="str">
        <f>"卢乾"</f>
        <v>卢乾</v>
      </c>
      <c r="D416" s="2" t="str">
        <f>"男"</f>
        <v>男</v>
      </c>
      <c r="E416" s="2" t="str">
        <f>"202209044501"</f>
        <v>202209044501</v>
      </c>
      <c r="F416" s="4">
        <v>64.5</v>
      </c>
      <c r="G416" s="4">
        <v>63</v>
      </c>
      <c r="H416" s="4">
        <f t="shared" si="36"/>
        <v>63.599999999999994</v>
      </c>
      <c r="I416" s="5" t="s">
        <v>20</v>
      </c>
    </row>
  </sheetData>
  <sheetProtection/>
  <mergeCells count="1">
    <mergeCell ref="A1:I1"/>
  </mergeCells>
  <printOptions horizontalCentered="1"/>
  <pageMargins left="0.39305555555555555" right="0.39305555555555555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泪过无痕</cp:lastModifiedBy>
  <dcterms:created xsi:type="dcterms:W3CDTF">2022-09-05T09:41:23Z</dcterms:created>
  <dcterms:modified xsi:type="dcterms:W3CDTF">2022-09-09T05:51:20Z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867467EB783441E9926A734DE3EBD181</vt:lpwstr>
  </property>
  <property fmtid="{D5CDD505-2E9C-101B-9397-08002B2CF9AE}" pid="4" name="KSOProductBuildV">
    <vt:lpwstr>2052-11.1.0.12358</vt:lpwstr>
  </property>
</Properties>
</file>