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<sst xmlns="http://schemas.openxmlformats.org/spreadsheetml/2006/main" count="7201" uniqueCount="1762">
  <si>
    <t>2022年颍泉区公开招聘幼儿教师笔试成绩</t>
  </si>
  <si>
    <t>报考号</t>
  </si>
  <si>
    <t>职位代码</t>
  </si>
  <si>
    <t>姓名</t>
  </si>
  <si>
    <t>准考证号</t>
  </si>
  <si>
    <t>考场号</t>
  </si>
  <si>
    <t>座位号</t>
  </si>
  <si>
    <t>教育综合知识</t>
  </si>
  <si>
    <t>备注</t>
  </si>
  <si>
    <t>专业知识</t>
  </si>
  <si>
    <t>合成成绩</t>
  </si>
  <si>
    <t>排名</t>
  </si>
  <si>
    <t>001-幼儿教师(育红幼教集团一组)</t>
  </si>
  <si>
    <t>袁心玉</t>
  </si>
  <si>
    <t xml:space="preserve"> </t>
  </si>
  <si>
    <t>贾心宇</t>
  </si>
  <si>
    <t>常寻寻</t>
  </si>
  <si>
    <t>王静静</t>
  </si>
  <si>
    <t>魏锦玉</t>
  </si>
  <si>
    <t>王琪</t>
  </si>
  <si>
    <t>孙佳圆</t>
  </si>
  <si>
    <t>孙杨子</t>
  </si>
  <si>
    <t>齐文静</t>
  </si>
  <si>
    <t>李婉茹</t>
  </si>
  <si>
    <t>车雨</t>
  </si>
  <si>
    <t>岳洁</t>
  </si>
  <si>
    <t>李珊珊</t>
  </si>
  <si>
    <t>胡姗姗</t>
  </si>
  <si>
    <t>李方方</t>
  </si>
  <si>
    <t>张文娜</t>
  </si>
  <si>
    <t>吴佟</t>
  </si>
  <si>
    <t>张影</t>
  </si>
  <si>
    <t>张玲玲</t>
  </si>
  <si>
    <t>刘佳雪</t>
  </si>
  <si>
    <t>曹羽雅</t>
  </si>
  <si>
    <t>刘艳玲</t>
  </si>
  <si>
    <t>薛媛</t>
  </si>
  <si>
    <t>李莉</t>
  </si>
  <si>
    <t>朱远音</t>
  </si>
  <si>
    <t>任子怡</t>
  </si>
  <si>
    <t>庄亚珊</t>
  </si>
  <si>
    <t>李静</t>
  </si>
  <si>
    <t>孟贞</t>
  </si>
  <si>
    <t>朱佳慧</t>
  </si>
  <si>
    <t>王秋怡</t>
  </si>
  <si>
    <t>杨悦悦</t>
  </si>
  <si>
    <t>韩雪</t>
  </si>
  <si>
    <t>李静文</t>
  </si>
  <si>
    <t>武明侠</t>
  </si>
  <si>
    <t>马晓岚</t>
  </si>
  <si>
    <t>闫爽</t>
  </si>
  <si>
    <t>张咏春</t>
  </si>
  <si>
    <t>田思婷</t>
  </si>
  <si>
    <t>潘凤</t>
  </si>
  <si>
    <t>张葵</t>
  </si>
  <si>
    <t>赵莹莹</t>
  </si>
  <si>
    <t>季炎鑫</t>
  </si>
  <si>
    <t>张凯利</t>
  </si>
  <si>
    <t>薛瑞</t>
  </si>
  <si>
    <t>刁东浩</t>
  </si>
  <si>
    <t>陈慧芳</t>
  </si>
  <si>
    <t>钱程</t>
  </si>
  <si>
    <t>臧守会</t>
  </si>
  <si>
    <t>李馨悦</t>
  </si>
  <si>
    <t>李梓萌</t>
  </si>
  <si>
    <t>赵宇佳</t>
  </si>
  <si>
    <t>杨梦萍</t>
  </si>
  <si>
    <t>任聪慧</t>
  </si>
  <si>
    <t>沈丽</t>
  </si>
  <si>
    <t>王腾腾</t>
  </si>
  <si>
    <t>刘倩倩</t>
  </si>
  <si>
    <t>丁漫玉</t>
  </si>
  <si>
    <t>空白卷</t>
  </si>
  <si>
    <t>王志</t>
  </si>
  <si>
    <t>缺考</t>
  </si>
  <si>
    <t>纪欣如</t>
  </si>
  <si>
    <t>高凯玲</t>
  </si>
  <si>
    <t>张梦冉</t>
  </si>
  <si>
    <t>张翠云</t>
  </si>
  <si>
    <t>潘雨虹</t>
  </si>
  <si>
    <t>李慧荣</t>
  </si>
  <si>
    <t>李思杭</t>
  </si>
  <si>
    <t>马兰</t>
  </si>
  <si>
    <t>盛雪静</t>
  </si>
  <si>
    <t>盛夏</t>
  </si>
  <si>
    <t>司慧</t>
  </si>
  <si>
    <t>杨柳洁</t>
  </si>
  <si>
    <t>连鑫</t>
  </si>
  <si>
    <t>柳旋</t>
  </si>
  <si>
    <t>程艳芝</t>
  </si>
  <si>
    <t>张梦雅</t>
  </si>
  <si>
    <t>侯洁</t>
  </si>
  <si>
    <t>李梦缘</t>
  </si>
  <si>
    <t>樊增雅</t>
  </si>
  <si>
    <t>杨悦</t>
  </si>
  <si>
    <t>金梦情</t>
  </si>
  <si>
    <t>陈晴晴</t>
  </si>
  <si>
    <t>袁玉</t>
  </si>
  <si>
    <t>朱梦雪</t>
  </si>
  <si>
    <t>曹亚</t>
  </si>
  <si>
    <t>武梦圆</t>
  </si>
  <si>
    <t>吕小璐</t>
  </si>
  <si>
    <t>宋雪宁</t>
  </si>
  <si>
    <t>刘翠</t>
  </si>
  <si>
    <t>杨梦雨</t>
  </si>
  <si>
    <t>扈小澄</t>
  </si>
  <si>
    <t>田淑婷</t>
  </si>
  <si>
    <t>张万杰</t>
  </si>
  <si>
    <t>002-幼儿教师(育红幼教集团二组)</t>
  </si>
  <si>
    <t>郭婷婷</t>
  </si>
  <si>
    <t>张瑞瑞</t>
  </si>
  <si>
    <t>程胜楠</t>
  </si>
  <si>
    <t>杨丽敏</t>
  </si>
  <si>
    <t>时华敏</t>
  </si>
  <si>
    <t>王茹</t>
  </si>
  <si>
    <t>张萍萍</t>
  </si>
  <si>
    <t>王姣姣</t>
  </si>
  <si>
    <t>薛天洁</t>
  </si>
  <si>
    <t>谢贝贝</t>
  </si>
  <si>
    <t>姜天琪</t>
  </si>
  <si>
    <t>韦新茹</t>
  </si>
  <si>
    <t>霍兰</t>
  </si>
  <si>
    <t>张又文</t>
  </si>
  <si>
    <t>张雯静</t>
  </si>
  <si>
    <t>张奇奇</t>
  </si>
  <si>
    <t>周璇</t>
  </si>
  <si>
    <t>张启悦</t>
  </si>
  <si>
    <t>储家辉</t>
  </si>
  <si>
    <t>赵小凤</t>
  </si>
  <si>
    <t>张文慧</t>
  </si>
  <si>
    <t>杨米雪</t>
  </si>
  <si>
    <t>潘格格</t>
  </si>
  <si>
    <t>李悦</t>
  </si>
  <si>
    <t>钱美红</t>
  </si>
  <si>
    <t>陈宣宣</t>
  </si>
  <si>
    <t>于轩佳</t>
  </si>
  <si>
    <t>张以勤</t>
  </si>
  <si>
    <t>刘雪</t>
  </si>
  <si>
    <t>李雪纯</t>
  </si>
  <si>
    <t>储家煜</t>
  </si>
  <si>
    <t>柳廷侠</t>
  </si>
  <si>
    <t>李雪姣</t>
  </si>
  <si>
    <t>杨曼曼</t>
  </si>
  <si>
    <t>梁晴晴</t>
  </si>
  <si>
    <t>郝芮洁</t>
  </si>
  <si>
    <t>周园园</t>
  </si>
  <si>
    <t>胡晶晶</t>
  </si>
  <si>
    <t>范晓晴</t>
  </si>
  <si>
    <t>张林林</t>
  </si>
  <si>
    <t>姚雨祥</t>
  </si>
  <si>
    <t>王慧文</t>
  </si>
  <si>
    <t>罗倩倩</t>
  </si>
  <si>
    <t>吴晶晶</t>
  </si>
  <si>
    <t>王玺</t>
  </si>
  <si>
    <t>邵梦梦</t>
  </si>
  <si>
    <t>邵倩楠</t>
  </si>
  <si>
    <t>刘兰</t>
  </si>
  <si>
    <t>张萌萌</t>
  </si>
  <si>
    <t>张紫月</t>
  </si>
  <si>
    <t>乔玉梅</t>
  </si>
  <si>
    <t>张雅迪</t>
  </si>
  <si>
    <t>徐潇娣</t>
  </si>
  <si>
    <t>孙如梦</t>
  </si>
  <si>
    <t>于梦</t>
  </si>
  <si>
    <t>彭静蕾</t>
  </si>
  <si>
    <t>张艳</t>
  </si>
  <si>
    <t>郑秀娥</t>
  </si>
  <si>
    <t>冯婉嫕</t>
  </si>
  <si>
    <t>刘响响</t>
  </si>
  <si>
    <t>吴琳</t>
  </si>
  <si>
    <t>李苏红</t>
  </si>
  <si>
    <t>黄文玲</t>
  </si>
  <si>
    <t>时梦玉</t>
  </si>
  <si>
    <t>丁晓钰</t>
  </si>
  <si>
    <t>马晓婷</t>
  </si>
  <si>
    <t>顾珍珍</t>
  </si>
  <si>
    <t>姜月</t>
  </si>
  <si>
    <t>赵玉秀</t>
  </si>
  <si>
    <t>时梦雪</t>
  </si>
  <si>
    <t>闫静</t>
  </si>
  <si>
    <t>张婷婷</t>
  </si>
  <si>
    <t>王若琳</t>
  </si>
  <si>
    <t>何倩倩</t>
  </si>
  <si>
    <t>张艳梅</t>
  </si>
  <si>
    <t>张依鑫</t>
  </si>
  <si>
    <t>杨晴晴</t>
  </si>
  <si>
    <t xml:space="preserve">金香 </t>
  </si>
  <si>
    <t>李瑞雪</t>
  </si>
  <si>
    <t>李彦增</t>
  </si>
  <si>
    <t>张鑫</t>
  </si>
  <si>
    <t>刘雪田</t>
  </si>
  <si>
    <t>003-幼儿教师(育红幼教集团三组)</t>
  </si>
  <si>
    <t>刘晨曦</t>
  </si>
  <si>
    <t>陈梦雅</t>
  </si>
  <si>
    <t>李子慧</t>
  </si>
  <si>
    <t>宋茹</t>
  </si>
  <si>
    <t>武畅畅</t>
  </si>
  <si>
    <t>高慧</t>
  </si>
  <si>
    <t>王梦璇</t>
  </si>
  <si>
    <t>王连杰</t>
  </si>
  <si>
    <t>李雪勤</t>
  </si>
  <si>
    <t>王满丽</t>
  </si>
  <si>
    <t>刘畅</t>
  </si>
  <si>
    <t>徐静雯</t>
  </si>
  <si>
    <t>刘静静</t>
  </si>
  <si>
    <t>李铭晨</t>
  </si>
  <si>
    <t>张曼曼</t>
  </si>
  <si>
    <t>王雅君</t>
  </si>
  <si>
    <t>李南南</t>
  </si>
  <si>
    <t>汪君淼</t>
  </si>
  <si>
    <t>卢陈夕</t>
  </si>
  <si>
    <t>彭恩惠</t>
  </si>
  <si>
    <t>陈启月</t>
  </si>
  <si>
    <t>徐妮娜</t>
  </si>
  <si>
    <t>吴梦娇</t>
  </si>
  <si>
    <t>贺新悦</t>
  </si>
  <si>
    <t>曹吉祥</t>
  </si>
  <si>
    <t>孙梦缘</t>
  </si>
  <si>
    <t>朱胜男</t>
  </si>
  <si>
    <t>周伟妮</t>
  </si>
  <si>
    <t>翟梦娇</t>
  </si>
  <si>
    <t>麻沙沙</t>
  </si>
  <si>
    <t>褚朝婷</t>
  </si>
  <si>
    <t>杨杰</t>
  </si>
  <si>
    <t>钮桂荣</t>
  </si>
  <si>
    <t>董梦婷</t>
  </si>
  <si>
    <t>王晶晶</t>
  </si>
  <si>
    <t>谢晶晶</t>
  </si>
  <si>
    <t>杨梦琪</t>
  </si>
  <si>
    <t>李海情</t>
  </si>
  <si>
    <t>刘苗苗</t>
  </si>
  <si>
    <t>朱嫣然</t>
  </si>
  <si>
    <t>李梦婷</t>
  </si>
  <si>
    <t>郭金雪</t>
  </si>
  <si>
    <t>张丹丹</t>
  </si>
  <si>
    <t>戚宁</t>
  </si>
  <si>
    <t>谢小玉</t>
  </si>
  <si>
    <t>李雪文</t>
  </si>
  <si>
    <t>庞婷婷</t>
  </si>
  <si>
    <t>张伊娜</t>
  </si>
  <si>
    <t>牛梦博</t>
  </si>
  <si>
    <t>李娜</t>
  </si>
  <si>
    <t>金亚楠</t>
  </si>
  <si>
    <t>吕雪燕</t>
  </si>
  <si>
    <t>丁羽彤</t>
  </si>
  <si>
    <t>张梦茹</t>
  </si>
  <si>
    <t>贾倩倩</t>
  </si>
  <si>
    <t>纪思雨</t>
  </si>
  <si>
    <t>任婷婷</t>
  </si>
  <si>
    <t>范梦茹</t>
  </si>
  <si>
    <t>缪韦娜</t>
  </si>
  <si>
    <t>邢雪丽</t>
  </si>
  <si>
    <t>李文惠</t>
  </si>
  <si>
    <t>武梦</t>
  </si>
  <si>
    <t>宋如萍</t>
  </si>
  <si>
    <t>陈丹丹</t>
  </si>
  <si>
    <t>马晴晴</t>
  </si>
  <si>
    <t>刘柳</t>
  </si>
  <si>
    <t>孙燕</t>
  </si>
  <si>
    <t>秦玉</t>
  </si>
  <si>
    <t>宋燕婷</t>
  </si>
  <si>
    <t>王雨萌</t>
  </si>
  <si>
    <t>王茜</t>
  </si>
  <si>
    <t>余新燕</t>
  </si>
  <si>
    <t>陈悦悦</t>
  </si>
  <si>
    <t>李慧云</t>
  </si>
  <si>
    <t>丁晨晨</t>
  </si>
  <si>
    <t>陈瑞琳</t>
  </si>
  <si>
    <t>宫晨晴</t>
  </si>
  <si>
    <t>滑蒙蒙</t>
  </si>
  <si>
    <t>004-幼儿教师(民族幼儿园一组)</t>
  </si>
  <si>
    <t>姬梦醒</t>
  </si>
  <si>
    <t>王小娜</t>
  </si>
  <si>
    <t>赵盈盈</t>
  </si>
  <si>
    <t>邹婉莹</t>
  </si>
  <si>
    <t>吴一平</t>
  </si>
  <si>
    <t>石文凤</t>
  </si>
  <si>
    <t>李婷</t>
  </si>
  <si>
    <t>刘文洁</t>
  </si>
  <si>
    <t>田明</t>
  </si>
  <si>
    <t>高伟丽</t>
  </si>
  <si>
    <t>祝佳佳</t>
  </si>
  <si>
    <t>孙常竣</t>
  </si>
  <si>
    <t>张晓曼</t>
  </si>
  <si>
    <t>王慧云</t>
  </si>
  <si>
    <t>陶情情</t>
  </si>
  <si>
    <t>刘舒雨</t>
  </si>
  <si>
    <t>张文静</t>
  </si>
  <si>
    <t>王灿杰</t>
  </si>
  <si>
    <t>张家娣</t>
  </si>
  <si>
    <t>陈文静</t>
  </si>
  <si>
    <t>张梦雪</t>
  </si>
  <si>
    <t>白静雯</t>
  </si>
  <si>
    <t>杨雨婷</t>
  </si>
  <si>
    <t>高玲</t>
  </si>
  <si>
    <t>孙慧敏</t>
  </si>
  <si>
    <t>方影</t>
  </si>
  <si>
    <t>孙艳</t>
  </si>
  <si>
    <t>陈杨</t>
  </si>
  <si>
    <t>常景景</t>
  </si>
  <si>
    <t>袁天晴</t>
  </si>
  <si>
    <t>齐淼</t>
  </si>
  <si>
    <t>宋凯婷</t>
  </si>
  <si>
    <t>韩露</t>
  </si>
  <si>
    <t>李庆梅</t>
  </si>
  <si>
    <t>武慧芳</t>
  </si>
  <si>
    <t>吴曼曼</t>
  </si>
  <si>
    <t>肖婉晴</t>
  </si>
  <si>
    <t>刘怡齐</t>
  </si>
  <si>
    <t>侯馨蕊</t>
  </si>
  <si>
    <t>姚德笑</t>
  </si>
  <si>
    <t>陶梦梦</t>
  </si>
  <si>
    <t>李一凡</t>
  </si>
  <si>
    <t>沈欢欢</t>
  </si>
  <si>
    <t>李梦如</t>
  </si>
  <si>
    <t>李瑞</t>
  </si>
  <si>
    <t>乔嫣翔</t>
  </si>
  <si>
    <t>薛冉</t>
  </si>
  <si>
    <t>曾蜜甜</t>
  </si>
  <si>
    <t>刘静雯</t>
  </si>
  <si>
    <t>薛松</t>
  </si>
  <si>
    <t>海子韵</t>
  </si>
  <si>
    <t>刘云浩</t>
  </si>
  <si>
    <t>亓玉玉</t>
  </si>
  <si>
    <t>杨道文</t>
  </si>
  <si>
    <t>孙以悦</t>
  </si>
  <si>
    <t>韩明珠</t>
  </si>
  <si>
    <t>曹雪</t>
  </si>
  <si>
    <t>张姗姗</t>
  </si>
  <si>
    <t>顾慧丽</t>
  </si>
  <si>
    <t>李珠</t>
  </si>
  <si>
    <t>肖佳茵</t>
  </si>
  <si>
    <t>王丽君</t>
  </si>
  <si>
    <t>杜晓静</t>
  </si>
  <si>
    <t>李慧</t>
  </si>
  <si>
    <t>刘梦雅</t>
  </si>
  <si>
    <t>田艳</t>
  </si>
  <si>
    <t>王宇朦</t>
  </si>
  <si>
    <t>刘乐</t>
  </si>
  <si>
    <t>尹瑞</t>
  </si>
  <si>
    <t>白青醒</t>
  </si>
  <si>
    <t>孙梦陈</t>
  </si>
  <si>
    <t>李静雯</t>
  </si>
  <si>
    <t>刘玉</t>
  </si>
  <si>
    <t>于梦泽</t>
  </si>
  <si>
    <t>李敏</t>
  </si>
  <si>
    <t>武敏</t>
  </si>
  <si>
    <t>季新草</t>
  </si>
  <si>
    <t>徐小凤</t>
  </si>
  <si>
    <t>张梦秋</t>
  </si>
  <si>
    <t>祝文博</t>
  </si>
  <si>
    <t>岳佩佩</t>
  </si>
  <si>
    <t>王倩楠</t>
  </si>
  <si>
    <t>秦雨</t>
  </si>
  <si>
    <t>于成成</t>
  </si>
  <si>
    <t>朱宇晴</t>
  </si>
  <si>
    <t>曹玉</t>
  </si>
  <si>
    <t>董金凤</t>
  </si>
  <si>
    <t>刘越华</t>
  </si>
  <si>
    <t>005-幼儿教师(民族幼儿园二组)</t>
  </si>
  <si>
    <t>祁文静</t>
  </si>
  <si>
    <t>王海雯</t>
  </si>
  <si>
    <t>陈红</t>
  </si>
  <si>
    <t>宋雨晴</t>
  </si>
  <si>
    <t>唐景</t>
  </si>
  <si>
    <t>高杰</t>
  </si>
  <si>
    <t>童思雨</t>
  </si>
  <si>
    <t>黄雅茹</t>
  </si>
  <si>
    <t>王宪维</t>
  </si>
  <si>
    <t>李莹莹</t>
  </si>
  <si>
    <t>张梦晴</t>
  </si>
  <si>
    <t>许玲</t>
  </si>
  <si>
    <t>刘诗佳</t>
  </si>
  <si>
    <t>许晓慧</t>
  </si>
  <si>
    <t>赵梦雪</t>
  </si>
  <si>
    <t>赵兴雯</t>
  </si>
  <si>
    <t>郭鑫鑫</t>
  </si>
  <si>
    <t>张玉红</t>
  </si>
  <si>
    <t>谢文胭</t>
  </si>
  <si>
    <t>杜洋洋</t>
  </si>
  <si>
    <t>左梦雅</t>
  </si>
  <si>
    <t>胡梦雅</t>
  </si>
  <si>
    <t>刘利</t>
  </si>
  <si>
    <t>高格格</t>
  </si>
  <si>
    <t>武天姿</t>
  </si>
  <si>
    <t>崇梦遥</t>
  </si>
  <si>
    <t>韦梦茹</t>
  </si>
  <si>
    <t>李青青</t>
  </si>
  <si>
    <t>刘娜</t>
  </si>
  <si>
    <t>谢兰迎</t>
  </si>
  <si>
    <t>吴影影</t>
  </si>
  <si>
    <t>武烟云</t>
  </si>
  <si>
    <t>李雅鑫</t>
  </si>
  <si>
    <t>刘梦琴</t>
  </si>
  <si>
    <t>赵精玉</t>
  </si>
  <si>
    <t>刘城妹</t>
  </si>
  <si>
    <t>韩小茜</t>
  </si>
  <si>
    <t>刘培培</t>
  </si>
  <si>
    <t>梁梦娜</t>
  </si>
  <si>
    <t>王孟孟</t>
  </si>
  <si>
    <t>裴欣悦</t>
  </si>
  <si>
    <t>杨书婷</t>
  </si>
  <si>
    <t>苗琪</t>
  </si>
  <si>
    <t>叶梦琪</t>
  </si>
  <si>
    <t>杨雪</t>
  </si>
  <si>
    <t>王如如</t>
  </si>
  <si>
    <t>时闻静</t>
  </si>
  <si>
    <t>张荣</t>
  </si>
  <si>
    <t>甄悦</t>
  </si>
  <si>
    <t>张露</t>
  </si>
  <si>
    <t>江楠</t>
  </si>
  <si>
    <t>兰文文</t>
  </si>
  <si>
    <t>刘梦情</t>
  </si>
  <si>
    <t>牛梅梅</t>
  </si>
  <si>
    <t>范凯利</t>
  </si>
  <si>
    <t>冯娜娜</t>
  </si>
  <si>
    <t>李月</t>
  </si>
  <si>
    <t>李梦然</t>
  </si>
  <si>
    <t>张亚如</t>
  </si>
  <si>
    <t>刘越</t>
  </si>
  <si>
    <t>宫馨悦</t>
  </si>
  <si>
    <t>王舒瑶</t>
  </si>
  <si>
    <t>谷丽君</t>
  </si>
  <si>
    <t>高欣楠</t>
  </si>
  <si>
    <t>黄倩文</t>
  </si>
  <si>
    <t>曹雨晴</t>
  </si>
  <si>
    <t>鲍迪</t>
  </si>
  <si>
    <t>刘思琦</t>
  </si>
  <si>
    <t>郭欣</t>
  </si>
  <si>
    <t>魏广琴</t>
  </si>
  <si>
    <t>马静</t>
  </si>
  <si>
    <t>郭燕燕</t>
  </si>
  <si>
    <t>徐新宇</t>
  </si>
  <si>
    <t>胡敏杰</t>
  </si>
  <si>
    <t>李小雪</t>
  </si>
  <si>
    <t>常南南</t>
  </si>
  <si>
    <t>王禹雯</t>
  </si>
  <si>
    <t>谢影</t>
  </si>
  <si>
    <t>于凯丽</t>
  </si>
  <si>
    <t>高雪晴</t>
  </si>
  <si>
    <t>余峥光</t>
  </si>
  <si>
    <t>庞永芳</t>
  </si>
  <si>
    <t>任如月</t>
  </si>
  <si>
    <t>宁静</t>
  </si>
  <si>
    <t>006-幼儿教师(区直幼儿园一组)</t>
  </si>
  <si>
    <t>宋文文</t>
  </si>
  <si>
    <t>郭智慧</t>
  </si>
  <si>
    <t>张晴</t>
  </si>
  <si>
    <t>丁诺雅</t>
  </si>
  <si>
    <t>范小月</t>
  </si>
  <si>
    <t>杨稳佳</t>
  </si>
  <si>
    <t>张静静</t>
  </si>
  <si>
    <t>张艳萍</t>
  </si>
  <si>
    <t>李梦瑶</t>
  </si>
  <si>
    <t>周雅婷</t>
  </si>
  <si>
    <t>王盼盼</t>
  </si>
  <si>
    <t>刘瑞婷</t>
  </si>
  <si>
    <t>韩娅雪</t>
  </si>
  <si>
    <t>付雪琴</t>
  </si>
  <si>
    <t>刘万胜</t>
  </si>
  <si>
    <t>张伟伟</t>
  </si>
  <si>
    <t>孙悦悦</t>
  </si>
  <si>
    <t>周姚远</t>
  </si>
  <si>
    <t>张杰</t>
  </si>
  <si>
    <t>陈梦</t>
  </si>
  <si>
    <t>侯冰洁</t>
  </si>
  <si>
    <t>张方方</t>
  </si>
  <si>
    <t>代紫悦</t>
  </si>
  <si>
    <t>赵雪彬</t>
  </si>
  <si>
    <t>李欣茹</t>
  </si>
  <si>
    <t>范永玉</t>
  </si>
  <si>
    <t>张玉娟</t>
  </si>
  <si>
    <t>王道凤</t>
  </si>
  <si>
    <t>赵佳慧</t>
  </si>
  <si>
    <t>孙冰冰</t>
  </si>
  <si>
    <t>高晓寒</t>
  </si>
  <si>
    <t>王云</t>
  </si>
  <si>
    <t>武虎</t>
  </si>
  <si>
    <t>魏凤仙</t>
  </si>
  <si>
    <t>王若楠</t>
  </si>
  <si>
    <t>李心睿</t>
  </si>
  <si>
    <t>门若琪</t>
  </si>
  <si>
    <t>唐雯雯</t>
  </si>
  <si>
    <t>常路苹</t>
  </si>
  <si>
    <t>张思文</t>
  </si>
  <si>
    <t>史保清</t>
  </si>
  <si>
    <t>孟凡影</t>
  </si>
  <si>
    <t>陈宇歌</t>
  </si>
  <si>
    <t>蔡雪芹</t>
  </si>
  <si>
    <t>葛佳慧</t>
  </si>
  <si>
    <t>刘慧娴</t>
  </si>
  <si>
    <t>李梦飞</t>
  </si>
  <si>
    <t>李元元</t>
  </si>
  <si>
    <t>臧梦娟</t>
  </si>
  <si>
    <t>谢法荣</t>
  </si>
  <si>
    <t>王笑笑</t>
  </si>
  <si>
    <t>潘静怡</t>
  </si>
  <si>
    <t>李芳</t>
  </si>
  <si>
    <t>李心情</t>
  </si>
  <si>
    <t>陈天佑</t>
  </si>
  <si>
    <t>张梦妍</t>
  </si>
  <si>
    <t>刘薇薇</t>
  </si>
  <si>
    <t>马瑞晨</t>
  </si>
  <si>
    <t>吴丽娜</t>
  </si>
  <si>
    <t>刘思源</t>
  </si>
  <si>
    <t>王雅倩</t>
  </si>
  <si>
    <t>黄雪婷</t>
  </si>
  <si>
    <t>张雨辰</t>
  </si>
  <si>
    <t>卞苗苗</t>
  </si>
  <si>
    <t>陆文文</t>
  </si>
  <si>
    <t>吕笑笑</t>
  </si>
  <si>
    <t>吴雪</t>
  </si>
  <si>
    <t>马建</t>
  </si>
  <si>
    <t>李倩倩</t>
  </si>
  <si>
    <t>周瑞</t>
  </si>
  <si>
    <t>王增文</t>
  </si>
  <si>
    <t>尤小蝶</t>
  </si>
  <si>
    <t>乔玉玉</t>
  </si>
  <si>
    <t>闫倍倍</t>
  </si>
  <si>
    <t>袁晓雅</t>
  </si>
  <si>
    <t>黄景梅</t>
  </si>
  <si>
    <t>朱圆圆</t>
  </si>
  <si>
    <t>刘小侠</t>
  </si>
  <si>
    <t>梁娜娜</t>
  </si>
  <si>
    <t>赵小健</t>
  </si>
  <si>
    <t>杨馨慧</t>
  </si>
  <si>
    <t>007-幼儿教师(区直幼儿园二组)</t>
  </si>
  <si>
    <t>孙萍萍</t>
  </si>
  <si>
    <t>马梦情</t>
  </si>
  <si>
    <t>王凯文</t>
  </si>
  <si>
    <t>何若男</t>
  </si>
  <si>
    <t>杨露萍</t>
  </si>
  <si>
    <t>王玲</t>
  </si>
  <si>
    <t>卢瑞</t>
  </si>
  <si>
    <t>高文静</t>
  </si>
  <si>
    <t>袁鑫</t>
  </si>
  <si>
    <t>王秀娟</t>
  </si>
  <si>
    <t>秦玉丽</t>
  </si>
  <si>
    <t>张梦淘</t>
  </si>
  <si>
    <t>刘雪燕</t>
  </si>
  <si>
    <t>马慧</t>
  </si>
  <si>
    <t>李晓冉</t>
  </si>
  <si>
    <t>高雨晴</t>
  </si>
  <si>
    <t>郭越</t>
  </si>
  <si>
    <t>吴瑞雨</t>
  </si>
  <si>
    <t>祝冰冰</t>
  </si>
  <si>
    <t>杨翠</t>
  </si>
  <si>
    <t>刘梦文</t>
  </si>
  <si>
    <t>朱雪宁</t>
  </si>
  <si>
    <t>汝新茹</t>
  </si>
  <si>
    <t>锁晓慧</t>
  </si>
  <si>
    <t>刘昌侠</t>
  </si>
  <si>
    <t>任倩文</t>
  </si>
  <si>
    <t>宁夏</t>
  </si>
  <si>
    <t>赵晴</t>
  </si>
  <si>
    <t>夏婷婷</t>
  </si>
  <si>
    <t>康壮壮</t>
  </si>
  <si>
    <t>王玉茹</t>
  </si>
  <si>
    <t>徐梦</t>
  </si>
  <si>
    <t>姜梦利</t>
  </si>
  <si>
    <t>李静静</t>
  </si>
  <si>
    <t>邱曼</t>
  </si>
  <si>
    <t>李英梅</t>
  </si>
  <si>
    <t>蒋婉璐</t>
  </si>
  <si>
    <t>周青青</t>
  </si>
  <si>
    <t>张雨琪</t>
  </si>
  <si>
    <t>龚婉婷</t>
  </si>
  <si>
    <t>李星宇</t>
  </si>
  <si>
    <t>李雪晴</t>
  </si>
  <si>
    <t>牛慧娟</t>
  </si>
  <si>
    <t>冉庆庆</t>
  </si>
  <si>
    <t>胡莹莹</t>
  </si>
  <si>
    <t>赵晴晴</t>
  </si>
  <si>
    <t>邢梦雨</t>
  </si>
  <si>
    <t>张倩倩</t>
  </si>
  <si>
    <t>蒋梦梦</t>
  </si>
  <si>
    <t>庞皖君</t>
  </si>
  <si>
    <t>夏莉</t>
  </si>
  <si>
    <t>屈小燕</t>
  </si>
  <si>
    <t>任沪宁</t>
  </si>
  <si>
    <t>张孟雅</t>
  </si>
  <si>
    <t>李珂</t>
  </si>
  <si>
    <t>范梦雪</t>
  </si>
  <si>
    <t>刘陈</t>
  </si>
  <si>
    <t>王秀朵</t>
  </si>
  <si>
    <t>卢小芳</t>
  </si>
  <si>
    <t>江雨菡</t>
  </si>
  <si>
    <t>卢苗苗</t>
  </si>
  <si>
    <t>谷庆芳</t>
  </si>
  <si>
    <t>高发</t>
  </si>
  <si>
    <t>严林林</t>
  </si>
  <si>
    <t>王影</t>
  </si>
  <si>
    <t>王志梅</t>
  </si>
  <si>
    <t>邹敏</t>
  </si>
  <si>
    <t>冯静静</t>
  </si>
  <si>
    <t>王宁</t>
  </si>
  <si>
    <t>陈慧</t>
  </si>
  <si>
    <t>徐思宁</t>
  </si>
  <si>
    <t>马子晴</t>
  </si>
  <si>
    <t>徐晓玲</t>
  </si>
  <si>
    <t>荆梦寒</t>
  </si>
  <si>
    <t>王思佳</t>
  </si>
  <si>
    <t>李心瑶</t>
  </si>
  <si>
    <t>008-幼儿教师(泉北中心校一组)</t>
  </si>
  <si>
    <t>付可</t>
  </si>
  <si>
    <t>张智慧</t>
  </si>
  <si>
    <t>耿荣荣</t>
  </si>
  <si>
    <t>唐思文</t>
  </si>
  <si>
    <t>邢月娇</t>
  </si>
  <si>
    <t>刘莹莹</t>
  </si>
  <si>
    <t>武雪</t>
  </si>
  <si>
    <t>刘哪</t>
  </si>
  <si>
    <t>刘悦</t>
  </si>
  <si>
    <t>张情情</t>
  </si>
  <si>
    <t>韩小玉</t>
  </si>
  <si>
    <t>蒋艺芳</t>
  </si>
  <si>
    <t>张金曼</t>
  </si>
  <si>
    <t>孙晴</t>
  </si>
  <si>
    <t>张馨元</t>
  </si>
  <si>
    <t>杨玉侠</t>
  </si>
  <si>
    <t>高娜娜</t>
  </si>
  <si>
    <t>王晓萌</t>
  </si>
  <si>
    <t>穆利</t>
  </si>
  <si>
    <t>朱素丽</t>
  </si>
  <si>
    <t>刘娇娇</t>
  </si>
  <si>
    <t>张孟远</t>
  </si>
  <si>
    <t>谷慧慧</t>
  </si>
  <si>
    <t>任优美</t>
  </si>
  <si>
    <t>刘娜娜</t>
  </si>
  <si>
    <t>秦梦妮</t>
  </si>
  <si>
    <t>张悦</t>
  </si>
  <si>
    <t>高冬青</t>
  </si>
  <si>
    <t>侯梦晨</t>
  </si>
  <si>
    <t>周瑞琼</t>
  </si>
  <si>
    <t>王俊丽</t>
  </si>
  <si>
    <t>杜欣欣</t>
  </si>
  <si>
    <t>杨影</t>
  </si>
  <si>
    <t>范稳稳</t>
  </si>
  <si>
    <t>魏飞艳</t>
  </si>
  <si>
    <t>李晓晨</t>
  </si>
  <si>
    <t>孙艳红</t>
  </si>
  <si>
    <t>王真</t>
  </si>
  <si>
    <t>陈馨怡</t>
  </si>
  <si>
    <t>杨程程</t>
  </si>
  <si>
    <t>曹紫薇</t>
  </si>
  <si>
    <t>高艳丽</t>
  </si>
  <si>
    <t>沈莹莹</t>
  </si>
  <si>
    <t>张晨晖</t>
  </si>
  <si>
    <t>张跃雪</t>
  </si>
  <si>
    <t>滑雪晴</t>
  </si>
  <si>
    <t>申玉慧</t>
  </si>
  <si>
    <t>李盈盈</t>
  </si>
  <si>
    <t>张培培</t>
  </si>
  <si>
    <t>曹萍</t>
  </si>
  <si>
    <t>朱克</t>
  </si>
  <si>
    <t>贾梦茹</t>
  </si>
  <si>
    <t>张小玉</t>
  </si>
  <si>
    <t>孙慧茹</t>
  </si>
  <si>
    <t>李君</t>
  </si>
  <si>
    <t>曹倩影</t>
  </si>
  <si>
    <t>陈洁</t>
  </si>
  <si>
    <t>侯田</t>
  </si>
  <si>
    <t>刘梦丹</t>
  </si>
  <si>
    <t>尹纯云</t>
  </si>
  <si>
    <t>石忆妍</t>
  </si>
  <si>
    <t>沈爱晨</t>
  </si>
  <si>
    <t>见孟娜</t>
  </si>
  <si>
    <t>王宇启</t>
  </si>
  <si>
    <t>王楠</t>
  </si>
  <si>
    <t>张晓雪</t>
  </si>
  <si>
    <t>张盈盈</t>
  </si>
  <si>
    <t>赵培芳</t>
  </si>
  <si>
    <t>009-幼儿教师(泉北中心校二组)</t>
  </si>
  <si>
    <t>牛杰伟</t>
  </si>
  <si>
    <t>胡玉琦</t>
  </si>
  <si>
    <t>赫梦娟</t>
  </si>
  <si>
    <t>高静</t>
  </si>
  <si>
    <t>刘力扬</t>
  </si>
  <si>
    <t>刘雨晴</t>
  </si>
  <si>
    <t>肖艳平</t>
  </si>
  <si>
    <t>王子怡</t>
  </si>
  <si>
    <t>顾娱绮</t>
  </si>
  <si>
    <t>马紫薇</t>
  </si>
  <si>
    <t>张紫涵</t>
  </si>
  <si>
    <t>尚雪晴</t>
  </si>
  <si>
    <t>霍飒飒</t>
  </si>
  <si>
    <t>赵晓彤</t>
  </si>
  <si>
    <t>段小晴</t>
  </si>
  <si>
    <t>丁梦洁</t>
  </si>
  <si>
    <t>陈曼曼</t>
  </si>
  <si>
    <t>郝芸芸</t>
  </si>
  <si>
    <t>乔思奇</t>
  </si>
  <si>
    <t>宋迎迎</t>
  </si>
  <si>
    <t>窦甜甜</t>
  </si>
  <si>
    <t>张燕</t>
  </si>
  <si>
    <t>赵单</t>
  </si>
  <si>
    <t>葛雪玉</t>
  </si>
  <si>
    <t>许孟雷</t>
  </si>
  <si>
    <t>邓文燕</t>
  </si>
  <si>
    <t>马雪晴</t>
  </si>
  <si>
    <t>李轲</t>
  </si>
  <si>
    <t>张家杰</t>
  </si>
  <si>
    <t>梁乐瑶</t>
  </si>
  <si>
    <t>李雯雯</t>
  </si>
  <si>
    <t>马苏娜</t>
  </si>
  <si>
    <t>鹿曼</t>
  </si>
  <si>
    <t>吴雨</t>
  </si>
  <si>
    <t>周于亭</t>
  </si>
  <si>
    <t>张梦楠</t>
  </si>
  <si>
    <t>李孝梦</t>
  </si>
  <si>
    <t>顾刘珍</t>
  </si>
  <si>
    <t>朱怀萍</t>
  </si>
  <si>
    <t>路雨晴</t>
  </si>
  <si>
    <t>任兴露</t>
  </si>
  <si>
    <t>庞静雯</t>
  </si>
  <si>
    <t>燕宇晴</t>
  </si>
  <si>
    <t>刘雪梅</t>
  </si>
  <si>
    <t>苏笑笑</t>
  </si>
  <si>
    <t>曹静茹</t>
  </si>
  <si>
    <t>刘晓莉</t>
  </si>
  <si>
    <t>杨香香</t>
  </si>
  <si>
    <t>高漫漫</t>
  </si>
  <si>
    <t>张亚芳</t>
  </si>
  <si>
    <t>张娣</t>
  </si>
  <si>
    <t>李丽聪</t>
  </si>
  <si>
    <t>胡伶俐</t>
  </si>
  <si>
    <t>张利娟</t>
  </si>
  <si>
    <t>蔡贝贝</t>
  </si>
  <si>
    <t>郝艳丽</t>
  </si>
  <si>
    <t>李晓艳</t>
  </si>
  <si>
    <t>乔鑫</t>
  </si>
  <si>
    <t>010-幼儿教师(园区中心校一组)</t>
  </si>
  <si>
    <t>刘青青</t>
  </si>
  <si>
    <t>王春雨</t>
  </si>
  <si>
    <t>白晓梅</t>
  </si>
  <si>
    <t>赵学珍</t>
  </si>
  <si>
    <t>李雪静</t>
  </si>
  <si>
    <t>丁洁洁</t>
  </si>
  <si>
    <t>张慧</t>
  </si>
  <si>
    <t>刘盈盈</t>
  </si>
  <si>
    <t>肖梦娜</t>
  </si>
  <si>
    <t>李雨婷</t>
  </si>
  <si>
    <t>陈晨</t>
  </si>
  <si>
    <t>李洁</t>
  </si>
  <si>
    <t>王静</t>
  </si>
  <si>
    <t>闫苗苗</t>
  </si>
  <si>
    <t>张雨</t>
  </si>
  <si>
    <t>周楠楠</t>
  </si>
  <si>
    <t>关腾宇</t>
  </si>
  <si>
    <t>马娟</t>
  </si>
  <si>
    <t>崔苗苗</t>
  </si>
  <si>
    <t>穆丽影</t>
  </si>
  <si>
    <t>高银娟</t>
  </si>
  <si>
    <t>姜鑫鑫</t>
  </si>
  <si>
    <t>王孟君</t>
  </si>
  <si>
    <t>王荣</t>
  </si>
  <si>
    <t>欧阳昌梅</t>
  </si>
  <si>
    <t>程传雪</t>
  </si>
  <si>
    <t>孟雪</t>
  </si>
  <si>
    <t>张文文</t>
  </si>
  <si>
    <t>孙甜甜</t>
  </si>
  <si>
    <t>丁庆丽</t>
  </si>
  <si>
    <t>张一帆</t>
  </si>
  <si>
    <t>郁小雪</t>
  </si>
  <si>
    <t>黄文静</t>
  </si>
  <si>
    <t>胡晴晴</t>
  </si>
  <si>
    <t>聂文艺</t>
  </si>
  <si>
    <t>邢露娟</t>
  </si>
  <si>
    <t>胡圆圆</t>
  </si>
  <si>
    <t>胡丽丽</t>
  </si>
  <si>
    <t>张玉茹</t>
  </si>
  <si>
    <t>孟燕婷</t>
  </si>
  <si>
    <t>孙兰兰</t>
  </si>
  <si>
    <t>谢婷</t>
  </si>
  <si>
    <t>车云夏</t>
  </si>
  <si>
    <t>晏巧月</t>
  </si>
  <si>
    <t>011-幼儿教师(园区中心校二组)</t>
  </si>
  <si>
    <t>李梦晴</t>
  </si>
  <si>
    <t>李琪琪</t>
  </si>
  <si>
    <t>孙晓宇</t>
  </si>
  <si>
    <t>杨欣欣</t>
  </si>
  <si>
    <t>蔡心蕊</t>
  </si>
  <si>
    <t>周如</t>
  </si>
  <si>
    <t>徐娜娜</t>
  </si>
  <si>
    <t>李婷婷</t>
  </si>
  <si>
    <t>王紫旭</t>
  </si>
  <si>
    <t>倪肖男</t>
  </si>
  <si>
    <t>王静文</t>
  </si>
  <si>
    <t>宁梦婷</t>
  </si>
  <si>
    <t>王雯雅</t>
  </si>
  <si>
    <t>李硕</t>
  </si>
  <si>
    <t>李雪</t>
  </si>
  <si>
    <t>许雪雪</t>
  </si>
  <si>
    <t>杨柳</t>
  </si>
  <si>
    <t>张雨婷</t>
  </si>
  <si>
    <t>刘欣</t>
  </si>
  <si>
    <t>霍新萍</t>
  </si>
  <si>
    <t>马利华</t>
  </si>
  <si>
    <t>张露露</t>
  </si>
  <si>
    <t>郝平</t>
  </si>
  <si>
    <t>王娜娜</t>
  </si>
  <si>
    <t>高柳艳</t>
  </si>
  <si>
    <t>牛喜</t>
  </si>
  <si>
    <t>魏长虹</t>
  </si>
  <si>
    <t>杨敬文</t>
  </si>
  <si>
    <t>范越越</t>
  </si>
  <si>
    <t>蒋梦雪</t>
  </si>
  <si>
    <t>田婷慧</t>
  </si>
  <si>
    <t>尤海雯</t>
  </si>
  <si>
    <t>徐妙若</t>
  </si>
  <si>
    <t>季梦雅</t>
  </si>
  <si>
    <t>吴莹莹</t>
  </si>
  <si>
    <t>杜晓敏</t>
  </si>
  <si>
    <t>李可欣</t>
  </si>
  <si>
    <t>夏天</t>
  </si>
  <si>
    <t>戎凤</t>
  </si>
  <si>
    <t>朱艳艳</t>
  </si>
  <si>
    <t>朱稳稳</t>
  </si>
  <si>
    <t>江慧</t>
  </si>
  <si>
    <t>谢慧慧</t>
  </si>
  <si>
    <t>刘宁</t>
  </si>
  <si>
    <t>路畅</t>
  </si>
  <si>
    <t>汝丽</t>
  </si>
  <si>
    <t>陈晓月</t>
  </si>
  <si>
    <t>丁雨欣</t>
  </si>
  <si>
    <t>许燕</t>
  </si>
  <si>
    <t>王也</t>
  </si>
  <si>
    <t>012-幼儿教师(园区中心校三组)</t>
  </si>
  <si>
    <t>许会子</t>
  </si>
  <si>
    <t>李斯佳</t>
  </si>
  <si>
    <t>黄纹银</t>
  </si>
  <si>
    <t>毕梦雨</t>
  </si>
  <si>
    <t>韩伟娜</t>
  </si>
  <si>
    <t>刘晓雅</t>
  </si>
  <si>
    <t>马欣</t>
  </si>
  <si>
    <t>宋雪娜</t>
  </si>
  <si>
    <t>张毓</t>
  </si>
  <si>
    <t>任亦婷</t>
  </si>
  <si>
    <t>陈志婉</t>
  </si>
  <si>
    <t>张曼玉</t>
  </si>
  <si>
    <t>耿畅</t>
  </si>
  <si>
    <t>郭宁洁</t>
  </si>
  <si>
    <t>林莎莎</t>
  </si>
  <si>
    <t>杨梅</t>
  </si>
  <si>
    <t>张欣欣</t>
  </si>
  <si>
    <t>李雨奇</t>
  </si>
  <si>
    <t>王治雪</t>
  </si>
  <si>
    <t>王娟</t>
  </si>
  <si>
    <t>连皖新</t>
  </si>
  <si>
    <t>朱清华</t>
  </si>
  <si>
    <t>张征</t>
  </si>
  <si>
    <t>闫文平</t>
  </si>
  <si>
    <t>王贵平</t>
  </si>
  <si>
    <t>李云艳</t>
  </si>
  <si>
    <t>马思伟</t>
  </si>
  <si>
    <t>刘婉婷</t>
  </si>
  <si>
    <t>刘勤俪</t>
  </si>
  <si>
    <t>李雪梅</t>
  </si>
  <si>
    <t>王雪静</t>
  </si>
  <si>
    <t>陈琳琳</t>
  </si>
  <si>
    <t>袁悦</t>
  </si>
  <si>
    <t>黄佳慧</t>
  </si>
  <si>
    <t>王雪莹</t>
  </si>
  <si>
    <t>尤路路</t>
  </si>
  <si>
    <t>亓娟</t>
  </si>
  <si>
    <t>田情情</t>
  </si>
  <si>
    <t>陈晓雅</t>
  </si>
  <si>
    <t>张漫</t>
  </si>
  <si>
    <t>黄芳</t>
  </si>
  <si>
    <t>高圆圆</t>
  </si>
  <si>
    <t>王小雨</t>
  </si>
  <si>
    <t>吕梦晴</t>
  </si>
  <si>
    <t>丁澳梦</t>
  </si>
  <si>
    <t>王青帆</t>
  </si>
  <si>
    <t>侯梦琪</t>
  </si>
  <si>
    <t>崔丽园</t>
  </si>
  <si>
    <t>张云玲</t>
  </si>
  <si>
    <t>郭静静</t>
  </si>
  <si>
    <t>013-幼儿教师(园区中心校四组)</t>
  </si>
  <si>
    <t>管玉红</t>
  </si>
  <si>
    <t>白玉</t>
  </si>
  <si>
    <t>张康莉</t>
  </si>
  <si>
    <t>刘恩</t>
  </si>
  <si>
    <t>杨梦肖</t>
  </si>
  <si>
    <t>刘雪茹</t>
  </si>
  <si>
    <t>刘贝贝</t>
  </si>
  <si>
    <t>张雨桐</t>
  </si>
  <si>
    <t>刘小雨</t>
  </si>
  <si>
    <t>张漫丽</t>
  </si>
  <si>
    <t>赵玉娇</t>
  </si>
  <si>
    <t>刘玲</t>
  </si>
  <si>
    <t>杨梦</t>
  </si>
  <si>
    <t>韩晨</t>
  </si>
  <si>
    <t>张雨梦</t>
  </si>
  <si>
    <t>杨俊俊</t>
  </si>
  <si>
    <t>董露露</t>
  </si>
  <si>
    <t>聂晓歌</t>
  </si>
  <si>
    <t>王惠惠</t>
  </si>
  <si>
    <t>姚子卉</t>
  </si>
  <si>
    <t>任盈盈</t>
  </si>
  <si>
    <t>赵梦茹</t>
  </si>
  <si>
    <t>李圆圆</t>
  </si>
  <si>
    <t>耿娜娜</t>
  </si>
  <si>
    <t>张晓玉</t>
  </si>
  <si>
    <t>张选文</t>
  </si>
  <si>
    <t>黄怡欣</t>
  </si>
  <si>
    <t>吴慧婷</t>
  </si>
  <si>
    <t>丁莉</t>
  </si>
  <si>
    <t>张梦贤</t>
  </si>
  <si>
    <t>范晶晶</t>
  </si>
  <si>
    <t>赵艳艳</t>
  </si>
  <si>
    <t>王经营</t>
  </si>
  <si>
    <t>李雅楠</t>
  </si>
  <si>
    <t>李妮妮</t>
  </si>
  <si>
    <t>杨明月</t>
  </si>
  <si>
    <t>王欣钰</t>
  </si>
  <si>
    <t>冯舒蕾</t>
  </si>
  <si>
    <t>张梦婷</t>
  </si>
  <si>
    <t>林蝶蝶</t>
  </si>
  <si>
    <t>陈倩楠</t>
  </si>
  <si>
    <t>邓蓉蓉</t>
  </si>
  <si>
    <t>杨惠敏</t>
  </si>
  <si>
    <t>杨紫微</t>
  </si>
  <si>
    <t>肖庆</t>
  </si>
  <si>
    <t>朱运新</t>
  </si>
  <si>
    <t>钱雨晴</t>
  </si>
  <si>
    <t>刘南南</t>
  </si>
  <si>
    <t>范书晴</t>
  </si>
  <si>
    <t>王淑婷</t>
  </si>
  <si>
    <t>李玉利</t>
  </si>
  <si>
    <t>吕雪晴</t>
  </si>
  <si>
    <t>014-幼儿教师(园区中心校五组)</t>
  </si>
  <si>
    <t>武灵莉</t>
  </si>
  <si>
    <t>王俊</t>
  </si>
  <si>
    <t>贾慧敏</t>
  </si>
  <si>
    <t>杨文静</t>
  </si>
  <si>
    <t>聂秋月</t>
  </si>
  <si>
    <t>许慧</t>
  </si>
  <si>
    <t>徐悦悦</t>
  </si>
  <si>
    <t>沈文静</t>
  </si>
  <si>
    <t>李海莲</t>
  </si>
  <si>
    <t>韩艳萍</t>
  </si>
  <si>
    <t>孙意玉</t>
  </si>
  <si>
    <t>杨晓卉</t>
  </si>
  <si>
    <t xml:space="preserve"> 谢盼盼</t>
  </si>
  <si>
    <t>李钱钱</t>
  </si>
  <si>
    <t>亓文婷</t>
  </si>
  <si>
    <t>盛晓雅</t>
  </si>
  <si>
    <t>魏婉兵</t>
  </si>
  <si>
    <t>张梦帆</t>
  </si>
  <si>
    <t>胡芽菲</t>
  </si>
  <si>
    <t>贺雨琦</t>
  </si>
  <si>
    <t>闫欣欣</t>
  </si>
  <si>
    <t>赵玉妹</t>
  </si>
  <si>
    <t>李妍</t>
  </si>
  <si>
    <t>高洁</t>
  </si>
  <si>
    <t>孔莹莹</t>
  </si>
  <si>
    <t>钮雪花</t>
  </si>
  <si>
    <t>李玉琦</t>
  </si>
  <si>
    <t>李晨歌</t>
  </si>
  <si>
    <t>赵琰娜</t>
  </si>
  <si>
    <t>谢奇</t>
  </si>
  <si>
    <t>郭征文</t>
  </si>
  <si>
    <t>时倩倩</t>
  </si>
  <si>
    <t>李雪茹</t>
  </si>
  <si>
    <t>李晨慧</t>
  </si>
  <si>
    <t>王兰兰</t>
  </si>
  <si>
    <t>杨慧慧</t>
  </si>
  <si>
    <t>周传静</t>
  </si>
  <si>
    <t>王滕娇</t>
  </si>
  <si>
    <t>施芙蓉</t>
  </si>
  <si>
    <t>李倾城</t>
  </si>
  <si>
    <t>邓宁</t>
  </si>
  <si>
    <t>完亚茹</t>
  </si>
  <si>
    <t>钱醒醒</t>
  </si>
  <si>
    <t>蒋曼莉</t>
  </si>
  <si>
    <t>贾莹莹</t>
  </si>
  <si>
    <t xml:space="preserve">郭冰鑫 </t>
  </si>
  <si>
    <t>吴琼</t>
  </si>
  <si>
    <t>李梦佳</t>
  </si>
  <si>
    <t>赵文静</t>
  </si>
  <si>
    <t>王欣欣</t>
  </si>
  <si>
    <t>015-幼儿教师(周棚中心校一组)</t>
  </si>
  <si>
    <t>李金丽</t>
  </si>
  <si>
    <t>武紫忆</t>
  </si>
  <si>
    <t>刘梦</t>
  </si>
  <si>
    <t>张薇</t>
  </si>
  <si>
    <t>尹良馨</t>
  </si>
  <si>
    <t>赵煜炜</t>
  </si>
  <si>
    <t>徐静宇</t>
  </si>
  <si>
    <t>蒋佳硕</t>
  </si>
  <si>
    <t>李凯燕</t>
  </si>
  <si>
    <t>王娜</t>
  </si>
  <si>
    <t>孟欣</t>
  </si>
  <si>
    <t>刘洪丽</t>
  </si>
  <si>
    <t>梁雨洁</t>
  </si>
  <si>
    <t>王劝</t>
  </si>
  <si>
    <t>刘锐</t>
  </si>
  <si>
    <t>任晓婉</t>
  </si>
  <si>
    <t>李舒晴</t>
  </si>
  <si>
    <t>郭苗苗</t>
  </si>
  <si>
    <t>张业婷</t>
  </si>
  <si>
    <t>程铭</t>
  </si>
  <si>
    <t>柳倍倍</t>
  </si>
  <si>
    <t>范艺艺</t>
  </si>
  <si>
    <t>黄婷婷</t>
  </si>
  <si>
    <t>赵玲玲</t>
  </si>
  <si>
    <t>胡志如</t>
  </si>
  <si>
    <t>殷晓钰</t>
  </si>
  <si>
    <t>桑贝贝</t>
  </si>
  <si>
    <t>刘晴</t>
  </si>
  <si>
    <t>汪芹</t>
  </si>
  <si>
    <t>刘新慧</t>
  </si>
  <si>
    <t>张哲慧</t>
  </si>
  <si>
    <t>016-幼儿教师(周棚中心校二组)</t>
  </si>
  <si>
    <t>苏慧</t>
  </si>
  <si>
    <t>乔龙远</t>
  </si>
  <si>
    <t>刘盼盼</t>
  </si>
  <si>
    <t>孙伊琳</t>
  </si>
  <si>
    <t>夏梦晴</t>
  </si>
  <si>
    <t>沈照慧</t>
  </si>
  <si>
    <t>郑慧娟</t>
  </si>
  <si>
    <t>刘琳琳</t>
  </si>
  <si>
    <t>田文静</t>
  </si>
  <si>
    <t>王雪连</t>
  </si>
  <si>
    <t>沈静荷</t>
  </si>
  <si>
    <t>王翠</t>
  </si>
  <si>
    <t>陈子怡</t>
  </si>
  <si>
    <t>鹿子怡</t>
  </si>
  <si>
    <t>张梦韩</t>
  </si>
  <si>
    <t>孙心茹</t>
  </si>
  <si>
    <t>刘小雯</t>
  </si>
  <si>
    <t>张丽平</t>
  </si>
  <si>
    <t>柳艳</t>
  </si>
  <si>
    <t>许晴</t>
  </si>
  <si>
    <t>尤培培</t>
  </si>
  <si>
    <t>刘梦宇</t>
  </si>
  <si>
    <t>赵玉洁</t>
  </si>
  <si>
    <t>许晓宇</t>
  </si>
  <si>
    <t>李梦琦</t>
  </si>
  <si>
    <t xml:space="preserve">  张利娟</t>
  </si>
  <si>
    <t>周景群</t>
  </si>
  <si>
    <t>欧林澍</t>
  </si>
  <si>
    <t>017-幼儿教师(伍明中心校一组)</t>
  </si>
  <si>
    <t>孙若晴</t>
  </si>
  <si>
    <t>武雪利</t>
  </si>
  <si>
    <t>吴慧茹</t>
  </si>
  <si>
    <t>张雨欣</t>
  </si>
  <si>
    <t>吴雪雪</t>
  </si>
  <si>
    <t>慕思雨</t>
  </si>
  <si>
    <t>韦永平</t>
  </si>
  <si>
    <t>孙硕硕</t>
  </si>
  <si>
    <t>王梦晴</t>
  </si>
  <si>
    <t>李靖雯</t>
  </si>
  <si>
    <t>曹梦晴</t>
  </si>
  <si>
    <t>郑明月</t>
  </si>
  <si>
    <t>华银凤</t>
  </si>
  <si>
    <t>李梦甜</t>
  </si>
  <si>
    <t>杨晶晶</t>
  </si>
  <si>
    <t>周弯弯</t>
  </si>
  <si>
    <t>韦利芳</t>
  </si>
  <si>
    <t>王智慧</t>
  </si>
  <si>
    <t>董洁</t>
  </si>
  <si>
    <t>于静静</t>
  </si>
  <si>
    <t>牛双双</t>
  </si>
  <si>
    <t>郭明珠</t>
  </si>
  <si>
    <t>岳文荣</t>
  </si>
  <si>
    <t>魏晨</t>
  </si>
  <si>
    <t>徐层层</t>
  </si>
  <si>
    <t>018-幼儿教师(伍明中心校二组)</t>
  </si>
  <si>
    <t>艾梦凡</t>
  </si>
  <si>
    <t>李娜娜</t>
  </si>
  <si>
    <t>武雨晴</t>
  </si>
  <si>
    <t>刘祥薇</t>
  </si>
  <si>
    <t>高远</t>
  </si>
  <si>
    <t>潘敏</t>
  </si>
  <si>
    <t>潘兴林</t>
  </si>
  <si>
    <t>李旭晨</t>
  </si>
  <si>
    <t>程梦晨</t>
  </si>
  <si>
    <t>江雨晴</t>
  </si>
  <si>
    <t>王莉雯</t>
  </si>
  <si>
    <t>汝梦晴</t>
  </si>
  <si>
    <t>骆宣凤</t>
  </si>
  <si>
    <t>韩庆文</t>
  </si>
  <si>
    <t>宁雪静</t>
  </si>
  <si>
    <t>韩秀嶺</t>
  </si>
  <si>
    <t>李祥丽</t>
  </si>
  <si>
    <t>李尚峥</t>
  </si>
  <si>
    <t>李夏夏</t>
  </si>
  <si>
    <t>薛琴</t>
  </si>
  <si>
    <t>梁小菁</t>
  </si>
  <si>
    <t>董倩倩</t>
  </si>
  <si>
    <t>张娜娜</t>
  </si>
  <si>
    <t>任晨曦</t>
  </si>
  <si>
    <t>王龙梅</t>
  </si>
  <si>
    <t>刘笑笑</t>
  </si>
  <si>
    <t>牛晓慧</t>
  </si>
  <si>
    <t>019-幼儿教师(伍明中心校三组)</t>
  </si>
  <si>
    <t>李晴</t>
  </si>
  <si>
    <t>唐侠</t>
  </si>
  <si>
    <t>张文</t>
  </si>
  <si>
    <t>杜雯</t>
  </si>
  <si>
    <t>黄鑫</t>
  </si>
  <si>
    <t>师孟瑶</t>
  </si>
  <si>
    <t>胡月月</t>
  </si>
  <si>
    <t>吴露雨</t>
  </si>
  <si>
    <t>邓阿静</t>
  </si>
  <si>
    <t>储楚</t>
  </si>
  <si>
    <t>徐玥</t>
  </si>
  <si>
    <t>张雪莉</t>
  </si>
  <si>
    <t>路琼琼</t>
  </si>
  <si>
    <t>江可滢</t>
  </si>
  <si>
    <t>钱芳伟</t>
  </si>
  <si>
    <t>李欣宇</t>
  </si>
  <si>
    <t>冯洁</t>
  </si>
  <si>
    <t>张靖宇</t>
  </si>
  <si>
    <t>彭会会</t>
  </si>
  <si>
    <t>李晓敏</t>
  </si>
  <si>
    <t>王诺</t>
  </si>
  <si>
    <t>徐倩倩</t>
  </si>
  <si>
    <t>020-幼儿教师(苏集中心校一组)</t>
  </si>
  <si>
    <t>高思嘉</t>
  </si>
  <si>
    <t>邵君侠</t>
  </si>
  <si>
    <t>吴钺</t>
  </si>
  <si>
    <t>李春雨</t>
  </si>
  <si>
    <t>郭绘景</t>
  </si>
  <si>
    <t>崔允允</t>
  </si>
  <si>
    <t>刘海凤</t>
  </si>
  <si>
    <t>胡恩恩</t>
  </si>
  <si>
    <t>李佳慧</t>
  </si>
  <si>
    <t>李梅</t>
  </si>
  <si>
    <t>陆珊珊</t>
  </si>
  <si>
    <t>李亚茹</t>
  </si>
  <si>
    <t>李丽</t>
  </si>
  <si>
    <t>周孟</t>
  </si>
  <si>
    <t>戴玲玉</t>
  </si>
  <si>
    <t>张依晨</t>
  </si>
  <si>
    <t>刘言</t>
  </si>
  <si>
    <t>朱雪妍</t>
  </si>
  <si>
    <t>王婉晴</t>
  </si>
  <si>
    <t>孟莞</t>
  </si>
  <si>
    <t>021-幼儿教师(苏集中心校二组)</t>
  </si>
  <si>
    <t>吴平平</t>
  </si>
  <si>
    <t>刘习习</t>
  </si>
  <si>
    <t>孙晓曦</t>
  </si>
  <si>
    <t>陆慧慧</t>
  </si>
  <si>
    <t>张珂珂</t>
  </si>
  <si>
    <t>孙利娟</t>
  </si>
  <si>
    <t>武小灵</t>
  </si>
  <si>
    <t>高瑞敏</t>
  </si>
  <si>
    <t>王玉玲</t>
  </si>
  <si>
    <t>王贝贝</t>
  </si>
  <si>
    <t>王薇</t>
  </si>
  <si>
    <t>王莉平</t>
  </si>
  <si>
    <t>马瑞瑞</t>
  </si>
  <si>
    <t>张欣宇</t>
  </si>
  <si>
    <t>朱鑫雨</t>
  </si>
  <si>
    <t>杨雪梅</t>
  </si>
  <si>
    <t>田莉莉</t>
  </si>
  <si>
    <t>何雯雯</t>
  </si>
  <si>
    <t>姚小莉</t>
  </si>
  <si>
    <t>常华进</t>
  </si>
  <si>
    <t>张雨情</t>
  </si>
  <si>
    <t>张璐</t>
  </si>
  <si>
    <t>刘钰</t>
  </si>
  <si>
    <t>022-幼儿教师(邵营中心校一组)</t>
  </si>
  <si>
    <t>刘奕婧</t>
  </si>
  <si>
    <t>王难南</t>
  </si>
  <si>
    <t>孙文慧</t>
  </si>
  <si>
    <t>杨馨茹</t>
  </si>
  <si>
    <t>李小妮</t>
  </si>
  <si>
    <t>杨娟</t>
  </si>
  <si>
    <t>徐军洁</t>
  </si>
  <si>
    <t>刘淼淼</t>
  </si>
  <si>
    <t>方林林</t>
  </si>
  <si>
    <t>邵婷婷</t>
  </si>
  <si>
    <t>朱若男</t>
  </si>
  <si>
    <t>杨阳</t>
  </si>
  <si>
    <t>彭亚楠</t>
  </si>
  <si>
    <t>王雪铃</t>
  </si>
  <si>
    <t>王凯丽</t>
  </si>
  <si>
    <t>李苗苗</t>
  </si>
  <si>
    <t>李毛毛</t>
  </si>
  <si>
    <t>杨萍</t>
  </si>
  <si>
    <t>张雪艳</t>
  </si>
  <si>
    <t>023-幼儿教师(邵营中心校二组)</t>
  </si>
  <si>
    <t>张小可</t>
  </si>
  <si>
    <t>高金鑫</t>
  </si>
  <si>
    <t>贾紫娴</t>
  </si>
  <si>
    <t>魏钰</t>
  </si>
  <si>
    <t>张鹤雨</t>
  </si>
  <si>
    <t>王艳艳</t>
  </si>
  <si>
    <t>王唱唱</t>
  </si>
  <si>
    <t>丁静文</t>
  </si>
  <si>
    <t>王梦婷</t>
  </si>
  <si>
    <t>张心伟</t>
  </si>
  <si>
    <t>任洵妹</t>
  </si>
  <si>
    <t>韩晓嫚</t>
  </si>
  <si>
    <t>陈诗雨</t>
  </si>
  <si>
    <t>王丹</t>
  </si>
  <si>
    <t>严妮妮</t>
  </si>
  <si>
    <t>韦雨燕</t>
  </si>
  <si>
    <t>武云欣</t>
  </si>
  <si>
    <t>徐志娟</t>
  </si>
  <si>
    <t>党方方</t>
  </si>
  <si>
    <t>侯梦迪</t>
  </si>
  <si>
    <t>王雨寒</t>
  </si>
  <si>
    <t>024-幼儿教师(邵营中心校三组)</t>
  </si>
  <si>
    <t>张梦杰</t>
  </si>
  <si>
    <t>赵志飞</t>
  </si>
  <si>
    <t>彭蕊</t>
  </si>
  <si>
    <t>石露岩</t>
  </si>
  <si>
    <t>孙会敏</t>
  </si>
  <si>
    <t>蒋程程</t>
  </si>
  <si>
    <t>岳喜雨</t>
  </si>
  <si>
    <t>李晓玉</t>
  </si>
  <si>
    <t>孙情情</t>
  </si>
  <si>
    <t>姜瑞蝶</t>
  </si>
  <si>
    <t>刘晓云</t>
  </si>
  <si>
    <t>吴婷婷</t>
  </si>
  <si>
    <t>韩会会</t>
  </si>
  <si>
    <t>张柯琪</t>
  </si>
  <si>
    <t>王涵</t>
  </si>
  <si>
    <t>梁霄</t>
  </si>
  <si>
    <t>程明</t>
  </si>
  <si>
    <t>刘晓钰</t>
  </si>
  <si>
    <t>闫晨</t>
  </si>
  <si>
    <t>刘露</t>
  </si>
  <si>
    <t>杜金喜</t>
  </si>
  <si>
    <t>王梦宇</t>
  </si>
  <si>
    <t>张欣鑫</t>
  </si>
  <si>
    <t>吴馨悦</t>
  </si>
  <si>
    <t>杨小会</t>
  </si>
  <si>
    <t>赵丁枚</t>
  </si>
  <si>
    <t>025-幼儿教师(泉颍中心校一组)</t>
  </si>
  <si>
    <t>李笑雅</t>
  </si>
  <si>
    <t>郝银秋</t>
  </si>
  <si>
    <t>夏玉琴</t>
  </si>
  <si>
    <t>吴倩茹</t>
  </si>
  <si>
    <t>王淑文</t>
  </si>
  <si>
    <t>李文慧</t>
  </si>
  <si>
    <t>沈梦冉</t>
  </si>
  <si>
    <t>邢雨晴</t>
  </si>
  <si>
    <t>孙梦婷</t>
  </si>
  <si>
    <t>李亚杰</t>
  </si>
  <si>
    <t>方晓雨</t>
  </si>
  <si>
    <t>杨佳丽</t>
  </si>
  <si>
    <t>王雨晴</t>
  </si>
  <si>
    <t>时杨</t>
  </si>
  <si>
    <t>丁文文</t>
  </si>
  <si>
    <t>李婉晴</t>
  </si>
  <si>
    <t>侯慧中</t>
  </si>
  <si>
    <t>程永敏</t>
  </si>
  <si>
    <t>刘梦晴</t>
  </si>
  <si>
    <t>于文丽</t>
  </si>
  <si>
    <t>李桃桃</t>
  </si>
  <si>
    <t>张思雨</t>
  </si>
  <si>
    <t>黄楠楠</t>
  </si>
  <si>
    <t>王蒙蒙</t>
  </si>
  <si>
    <t>张晨晨</t>
  </si>
  <si>
    <t>王丽</t>
  </si>
  <si>
    <t>王萍</t>
  </si>
  <si>
    <t>张惠惠</t>
  </si>
  <si>
    <t>董玉云</t>
  </si>
  <si>
    <t>黄梦杰</t>
  </si>
  <si>
    <t>贺艳慧</t>
  </si>
  <si>
    <t>滑雨晴</t>
  </si>
  <si>
    <t>崔林玉</t>
  </si>
  <si>
    <t>张晓瑞</t>
  </si>
  <si>
    <t>代静如</t>
  </si>
  <si>
    <t>026-幼儿教师(泉颍中心校二组)</t>
  </si>
  <si>
    <t>任悦悦</t>
  </si>
  <si>
    <t>童仁红</t>
  </si>
  <si>
    <t>王可心</t>
  </si>
  <si>
    <t>马立晴</t>
  </si>
  <si>
    <t>陶甜甜</t>
  </si>
  <si>
    <t>刘晓曦</t>
  </si>
  <si>
    <t>黄雯筠</t>
  </si>
  <si>
    <t>辛媛媛</t>
  </si>
  <si>
    <t>宋阿蜜</t>
  </si>
  <si>
    <t>王小妮</t>
  </si>
  <si>
    <t>王丽萍</t>
  </si>
  <si>
    <t>谭曼莉</t>
  </si>
  <si>
    <t>陈梦雨</t>
  </si>
  <si>
    <t>姜萍</t>
  </si>
  <si>
    <t>李思瑜</t>
  </si>
  <si>
    <t>孙子璇</t>
  </si>
  <si>
    <t>李冰</t>
  </si>
  <si>
    <t>王袁袁</t>
  </si>
  <si>
    <t>郭静雯</t>
  </si>
  <si>
    <t>刘俊丽</t>
  </si>
  <si>
    <t>段伟雪</t>
  </si>
  <si>
    <t>朱跃楠</t>
  </si>
  <si>
    <t>王雪梅</t>
  </si>
  <si>
    <t>季程程</t>
  </si>
  <si>
    <t>张楠楠</t>
  </si>
  <si>
    <t>王静雯</t>
  </si>
  <si>
    <t>王新悦</t>
  </si>
  <si>
    <t>董书华</t>
  </si>
  <si>
    <t>杨鑫</t>
  </si>
  <si>
    <t>叶婷婷</t>
  </si>
  <si>
    <t>王凯迪</t>
  </si>
  <si>
    <t>张劲雅</t>
  </si>
  <si>
    <t>魏芹</t>
  </si>
  <si>
    <t>邓文静</t>
  </si>
  <si>
    <t>王洁</t>
  </si>
  <si>
    <t>宋园园</t>
  </si>
  <si>
    <t>吕嫚丽</t>
  </si>
  <si>
    <t>李雪莹</t>
  </si>
  <si>
    <t>贺倩楠</t>
  </si>
  <si>
    <t>陈俊</t>
  </si>
  <si>
    <t>027-幼儿教师(泉颍中心校三组)</t>
  </si>
  <si>
    <t>郭巧丽</t>
  </si>
  <si>
    <t>杨金淼</t>
  </si>
  <si>
    <t>杨静</t>
  </si>
  <si>
    <t>徐梦贇</t>
  </si>
  <si>
    <t>白艳</t>
  </si>
  <si>
    <t>王富玉</t>
  </si>
  <si>
    <t>薛珊珊</t>
  </si>
  <si>
    <t>张晴晴</t>
  </si>
  <si>
    <t>闫晗</t>
  </si>
  <si>
    <t>张新雨</t>
  </si>
  <si>
    <t>王晴晴</t>
  </si>
  <si>
    <t>唐颖</t>
  </si>
  <si>
    <t>王心悦</t>
  </si>
  <si>
    <t>甄姝鑫</t>
  </si>
  <si>
    <t>甄苗苗</t>
  </si>
  <si>
    <t>邵凯莉</t>
  </si>
  <si>
    <t>李若彤</t>
  </si>
  <si>
    <t>史云霞</t>
  </si>
  <si>
    <t>周晓妍</t>
  </si>
  <si>
    <t>孙伊蒙</t>
  </si>
  <si>
    <t>尚小月</t>
  </si>
  <si>
    <t>杜冉</t>
  </si>
  <si>
    <t>李可可</t>
  </si>
  <si>
    <t>李盼</t>
  </si>
  <si>
    <t>王曼丽</t>
  </si>
  <si>
    <t>樊静静</t>
  </si>
  <si>
    <t>刘梦梨</t>
  </si>
  <si>
    <t>殷梦琦</t>
  </si>
  <si>
    <t>刘春艳</t>
  </si>
  <si>
    <t>刘丹丹</t>
  </si>
  <si>
    <t>高雅晴</t>
  </si>
  <si>
    <t>郝雨凡</t>
  </si>
  <si>
    <t>郭晴晴</t>
  </si>
  <si>
    <t>霍文娟</t>
  </si>
  <si>
    <t>刘品</t>
  </si>
  <si>
    <t>申雅雅</t>
  </si>
  <si>
    <t>梁月香</t>
  </si>
  <si>
    <t>028-幼儿教师(泉颍中心校四组)</t>
  </si>
  <si>
    <t>郭莉</t>
  </si>
  <si>
    <t>陆蒙蒙</t>
  </si>
  <si>
    <t>韩悦</t>
  </si>
  <si>
    <t>徐静丽</t>
  </si>
  <si>
    <t>张宁宁</t>
  </si>
  <si>
    <t>韩萌</t>
  </si>
  <si>
    <t>杨续珍</t>
  </si>
  <si>
    <t>谢晴晴</t>
  </si>
  <si>
    <t>沈焦焦</t>
  </si>
  <si>
    <t>李欢欢</t>
  </si>
  <si>
    <t>陈敬雯</t>
  </si>
  <si>
    <t>代宇晗</t>
  </si>
  <si>
    <t>周旋</t>
  </si>
  <si>
    <t>高轩平</t>
  </si>
  <si>
    <t>许雅洁</t>
  </si>
  <si>
    <t>瓮瑜</t>
  </si>
  <si>
    <t>姚娅妹</t>
  </si>
  <si>
    <t>马丽</t>
  </si>
  <si>
    <t>张贝贝</t>
  </si>
  <si>
    <t>连静文</t>
  </si>
  <si>
    <t>刘圆利</t>
  </si>
  <si>
    <t>祁祥越</t>
  </si>
  <si>
    <t>连春陽</t>
  </si>
  <si>
    <t>王丹丹</t>
  </si>
  <si>
    <t>张振</t>
  </si>
  <si>
    <t>陈静雯</t>
  </si>
  <si>
    <t>丁来敏</t>
  </si>
  <si>
    <t>石秀萍</t>
  </si>
  <si>
    <t>高梦珂</t>
  </si>
  <si>
    <t>宋晓宇</t>
  </si>
  <si>
    <t>杨文秀</t>
  </si>
  <si>
    <t>牛方方</t>
  </si>
  <si>
    <t>储冰清</t>
  </si>
  <si>
    <t>郭云云</t>
  </si>
  <si>
    <t>杨柳莹</t>
  </si>
  <si>
    <t>杨晴</t>
  </si>
  <si>
    <t>张唯</t>
  </si>
  <si>
    <t>管玉雯</t>
  </si>
  <si>
    <t>曾婷婷</t>
  </si>
  <si>
    <t>029-幼儿教师(泉颍中心校五组)</t>
  </si>
  <si>
    <t>徐越越</t>
  </si>
  <si>
    <t>孙晴晴</t>
  </si>
  <si>
    <t>许紫怡</t>
  </si>
  <si>
    <t>孙婷婷</t>
  </si>
  <si>
    <t>邢悦</t>
  </si>
  <si>
    <t>洪琪琪</t>
  </si>
  <si>
    <t>陈茜</t>
  </si>
  <si>
    <t>秦俊影</t>
  </si>
  <si>
    <t>陈文娟</t>
  </si>
  <si>
    <t>潘嘉慧</t>
  </si>
  <si>
    <t>邓琪</t>
  </si>
  <si>
    <t>宫欣悦</t>
  </si>
  <si>
    <t>韩粉粉</t>
  </si>
  <si>
    <t>胡紫徽</t>
  </si>
  <si>
    <t>吴梦雨</t>
  </si>
  <si>
    <t>王颖泽</t>
  </si>
  <si>
    <t>刘羽</t>
  </si>
  <si>
    <t>赵珍珍</t>
  </si>
  <si>
    <t>黄文娟</t>
  </si>
  <si>
    <t>田莉</t>
  </si>
  <si>
    <t>刘梦晨</t>
  </si>
  <si>
    <t>朱沙沙</t>
  </si>
  <si>
    <t>孙思晴</t>
  </si>
  <si>
    <t>苗媛媛</t>
  </si>
  <si>
    <t>黄喜讯</t>
  </si>
  <si>
    <t>李艳然</t>
  </si>
  <si>
    <t>李默涵</t>
  </si>
  <si>
    <t>左苗苗</t>
  </si>
  <si>
    <t>汤瑜</t>
  </si>
  <si>
    <t>宋小玉</t>
  </si>
  <si>
    <t>陈雪</t>
  </si>
  <si>
    <t>白铭钰</t>
  </si>
  <si>
    <t xml:space="preserve"> 常梦雲</t>
  </si>
  <si>
    <t>王梓晴</t>
  </si>
  <si>
    <t>高琛</t>
  </si>
  <si>
    <t>谢思宇</t>
  </si>
  <si>
    <t>昝紫微</t>
  </si>
  <si>
    <t>李舒琪</t>
  </si>
  <si>
    <t>高静雯</t>
  </si>
  <si>
    <t>周雅倩</t>
  </si>
  <si>
    <t>郝俊杰</t>
  </si>
  <si>
    <t>030-幼儿教师(老庄中心校一组)</t>
  </si>
  <si>
    <t>陆璇</t>
  </si>
  <si>
    <t>崔玲玲</t>
  </si>
  <si>
    <t>吴艳</t>
  </si>
  <si>
    <t>关淑萍</t>
  </si>
  <si>
    <t>徐梦侠</t>
  </si>
  <si>
    <t>孙倩楠</t>
  </si>
  <si>
    <t>郭如情</t>
  </si>
  <si>
    <t>王亚玲</t>
  </si>
  <si>
    <t>张雪迪</t>
  </si>
  <si>
    <t>孙艳梅</t>
  </si>
  <si>
    <t>王雪芹</t>
  </si>
  <si>
    <t>李大倩</t>
  </si>
  <si>
    <t>韩如如</t>
  </si>
  <si>
    <t>洪婷婷</t>
  </si>
  <si>
    <t xml:space="preserve"> 温梦情</t>
  </si>
  <si>
    <t>彭丽侠</t>
  </si>
  <si>
    <t>张静</t>
  </si>
  <si>
    <t>陈宁</t>
  </si>
  <si>
    <t>于小妮</t>
  </si>
  <si>
    <t>王文萍</t>
  </si>
  <si>
    <t>程盼盼</t>
  </si>
  <si>
    <t>盛雨欣</t>
  </si>
  <si>
    <t>王雨凤</t>
  </si>
  <si>
    <t>韦永杰</t>
  </si>
  <si>
    <t>李翠</t>
  </si>
  <si>
    <t>兰艺琳</t>
  </si>
  <si>
    <t>031-幼儿教师(老庄中心校二组)</t>
  </si>
  <si>
    <t>常子娴</t>
  </si>
  <si>
    <t>孙可</t>
  </si>
  <si>
    <t>张孟文</t>
  </si>
  <si>
    <t>亓雪萌</t>
  </si>
  <si>
    <t>焦宁宁</t>
  </si>
  <si>
    <t>王逸凡</t>
  </si>
  <si>
    <t>牛辽珍</t>
  </si>
  <si>
    <t>姚梦雨</t>
  </si>
  <si>
    <t>刘晴雨</t>
  </si>
  <si>
    <t>余苗苗</t>
  </si>
  <si>
    <t>袁利娟</t>
  </si>
  <si>
    <t>李羽梦</t>
  </si>
  <si>
    <t>韩小洁</t>
  </si>
  <si>
    <t>赵倩倩</t>
  </si>
  <si>
    <t>高家婕</t>
  </si>
  <si>
    <t>张美</t>
  </si>
  <si>
    <t>李嘉慧</t>
  </si>
  <si>
    <t>刘小婉</t>
  </si>
  <si>
    <t>李胜楠</t>
  </si>
  <si>
    <t>张悉亭</t>
  </si>
  <si>
    <t>郭武艳</t>
  </si>
  <si>
    <t>王如梦</t>
  </si>
  <si>
    <t>高贝贝</t>
  </si>
  <si>
    <t>许甜甜</t>
  </si>
  <si>
    <t>032-幼儿教师(行流中心校一组)</t>
  </si>
  <si>
    <t>颜向南</t>
  </si>
  <si>
    <t>许诺</t>
  </si>
  <si>
    <t>程佳丽</t>
  </si>
  <si>
    <t>何亚南</t>
  </si>
  <si>
    <t>石雪梅</t>
  </si>
  <si>
    <t>田宇</t>
  </si>
  <si>
    <t>刘文悦</t>
  </si>
  <si>
    <t>张嘉怡</t>
  </si>
  <si>
    <t>张若楠</t>
  </si>
  <si>
    <t>刘美琪</t>
  </si>
  <si>
    <t>赵娜娜</t>
  </si>
  <si>
    <t>吕梦洁</t>
  </si>
  <si>
    <t>孙楠</t>
  </si>
  <si>
    <t>陈欢欢</t>
  </si>
  <si>
    <t>谭艳利</t>
  </si>
  <si>
    <t>吴娟</t>
  </si>
  <si>
    <t>陈敏雪</t>
  </si>
  <si>
    <t>刘舒文</t>
  </si>
  <si>
    <t>蔡莎莎</t>
  </si>
  <si>
    <t>梁雪瑞</t>
  </si>
  <si>
    <t>张旋旋</t>
  </si>
  <si>
    <t>033-幼儿教师(行流中心校二组)</t>
  </si>
  <si>
    <t>宋洁</t>
  </si>
  <si>
    <t>郭香</t>
  </si>
  <si>
    <t>武晴晴</t>
  </si>
  <si>
    <t>高玉晴</t>
  </si>
  <si>
    <t>王少梅</t>
  </si>
  <si>
    <t>陆玉玉</t>
  </si>
  <si>
    <t>王迎春</t>
  </si>
  <si>
    <t>卢悦</t>
  </si>
  <si>
    <t>孙妮妮</t>
  </si>
  <si>
    <t>葛晴晴</t>
  </si>
  <si>
    <t>董楠楠</t>
  </si>
  <si>
    <t>袁诗雨</t>
  </si>
  <si>
    <t>刘梅</t>
  </si>
  <si>
    <t>高子玉</t>
  </si>
  <si>
    <t>宁晨晨</t>
  </si>
  <si>
    <t>刘明明</t>
  </si>
  <si>
    <t>时晓玉</t>
  </si>
  <si>
    <t>董伟伟</t>
  </si>
  <si>
    <t>034-幼儿教师(行流中心校三组)</t>
  </si>
  <si>
    <t>王婷婷</t>
  </si>
  <si>
    <t>刘成琳</t>
  </si>
  <si>
    <t>张利文</t>
  </si>
  <si>
    <t>武雪梅</t>
  </si>
  <si>
    <t>李姝</t>
  </si>
  <si>
    <t>高艺洁</t>
  </si>
  <si>
    <t>柳婉玥</t>
  </si>
  <si>
    <t>孟洁</t>
  </si>
  <si>
    <t>王诗宇</t>
  </si>
  <si>
    <t>李志玉</t>
  </si>
  <si>
    <t>李蕊</t>
  </si>
  <si>
    <t>王冬菊</t>
  </si>
  <si>
    <t>钱梦梦</t>
  </si>
  <si>
    <t>翟玲玲</t>
  </si>
  <si>
    <t>王金侠</t>
  </si>
  <si>
    <t>朱秋月</t>
  </si>
  <si>
    <t>都来美</t>
  </si>
  <si>
    <t>李哲</t>
  </si>
  <si>
    <t>周京京</t>
  </si>
  <si>
    <t>郑田晶</t>
  </si>
  <si>
    <t>035-幼儿教师(姜堂中心校一组)</t>
  </si>
  <si>
    <t>张梦艳</t>
  </si>
  <si>
    <t>郭小娅</t>
  </si>
  <si>
    <t>陈增玲</t>
  </si>
  <si>
    <t>王曼云</t>
  </si>
  <si>
    <t>任家惠</t>
  </si>
  <si>
    <t>刘佳慧</t>
  </si>
  <si>
    <t>张宜梅</t>
  </si>
  <si>
    <t>张丽艳</t>
  </si>
  <si>
    <t>武晓玉</t>
  </si>
  <si>
    <t>来文雯</t>
  </si>
  <si>
    <t>邵梅</t>
  </si>
  <si>
    <t>朱静静</t>
  </si>
  <si>
    <t>张炎</t>
  </si>
  <si>
    <t>陈意婕</t>
  </si>
  <si>
    <t>李闪闪</t>
  </si>
  <si>
    <t>肖苗苗</t>
  </si>
  <si>
    <t>雅晴晴</t>
  </si>
  <si>
    <t>张欢换</t>
  </si>
  <si>
    <t>陈蓓蓓</t>
  </si>
  <si>
    <t>樊方方</t>
  </si>
  <si>
    <t>张海燕</t>
  </si>
  <si>
    <t>036-幼儿教师(姜堂中心校二组)</t>
  </si>
  <si>
    <t>陶艳玲</t>
  </si>
  <si>
    <t>周籽彤</t>
  </si>
  <si>
    <t>徐蕊蕊</t>
  </si>
  <si>
    <t>汪培培</t>
  </si>
  <si>
    <t>乔姗姗</t>
  </si>
  <si>
    <t>郭冬雪</t>
  </si>
  <si>
    <t>张雨晴</t>
  </si>
  <si>
    <t>刘妮娜</t>
  </si>
  <si>
    <t>侯文芳</t>
  </si>
  <si>
    <t>蔡美佳</t>
  </si>
  <si>
    <t>李诺纯</t>
  </si>
  <si>
    <t>冯宇晴</t>
  </si>
  <si>
    <t>李梦珍</t>
  </si>
  <si>
    <t>潘娇娇</t>
  </si>
  <si>
    <t>孙娜</t>
  </si>
  <si>
    <t>宋逸儒</t>
  </si>
  <si>
    <t>麻丽敏</t>
  </si>
  <si>
    <t>程悦悦</t>
  </si>
  <si>
    <t>孟娇娇</t>
  </si>
  <si>
    <t>陈庆虹</t>
  </si>
  <si>
    <t>赵梦梦</t>
  </si>
  <si>
    <t>任冯利</t>
  </si>
  <si>
    <t>吴爽爽</t>
  </si>
  <si>
    <t>谢艳艳</t>
  </si>
  <si>
    <t>037-幼儿教师(姜堂中心校三组)</t>
  </si>
  <si>
    <t>王雅婷</t>
  </si>
  <si>
    <t>冯嘉慧</t>
  </si>
  <si>
    <t>耿大玉</t>
  </si>
  <si>
    <t>张静茹</t>
  </si>
  <si>
    <t>齐迎</t>
  </si>
  <si>
    <t>闫恩慧</t>
  </si>
  <si>
    <t>常迪</t>
  </si>
  <si>
    <t>陈苏云</t>
  </si>
  <si>
    <t>宋若楠</t>
  </si>
  <si>
    <t>赵雨晴</t>
  </si>
  <si>
    <t>陈米雪</t>
  </si>
  <si>
    <t>张方婷</t>
  </si>
  <si>
    <t>刘寒雪</t>
  </si>
  <si>
    <t>刘雯雯</t>
  </si>
  <si>
    <t>李晓露</t>
  </si>
  <si>
    <t>张孟于</t>
  </si>
  <si>
    <t>邢吉祥</t>
  </si>
  <si>
    <t>沈悦</t>
  </si>
  <si>
    <t>孙盼盼</t>
  </si>
  <si>
    <t>常梦凡</t>
  </si>
  <si>
    <t>038-幼儿教师(姜堂中心校四组)</t>
  </si>
  <si>
    <t>曹悦</t>
  </si>
  <si>
    <t>徐梦雅</t>
  </si>
  <si>
    <t>岳倩</t>
  </si>
  <si>
    <t>刘秀文</t>
  </si>
  <si>
    <t>李君清</t>
  </si>
  <si>
    <t>郭勤</t>
  </si>
  <si>
    <t>李梦源</t>
  </si>
  <si>
    <t>高玲玲</t>
  </si>
  <si>
    <t>顾杰杰</t>
  </si>
  <si>
    <t>石亦婷</t>
  </si>
  <si>
    <t>丁皎皎</t>
  </si>
  <si>
    <t>代晓碟</t>
  </si>
  <si>
    <t>谢奇隆</t>
  </si>
  <si>
    <t>陶园园</t>
  </si>
  <si>
    <t>陈越</t>
  </si>
  <si>
    <t>陶宁</t>
  </si>
  <si>
    <t>韩雪梅</t>
  </si>
  <si>
    <t>马雪园</t>
  </si>
  <si>
    <t>曹光辉</t>
  </si>
  <si>
    <t>039-幼儿教师(闻集中心校一组)</t>
  </si>
  <si>
    <t>田欣宇</t>
  </si>
  <si>
    <t>戴莉莉</t>
  </si>
  <si>
    <t xml:space="preserve">丁皖云 </t>
  </si>
  <si>
    <t>白雪</t>
  </si>
  <si>
    <t>张丽雯</t>
  </si>
  <si>
    <t>孟倩倩</t>
  </si>
  <si>
    <t>陈璐</t>
  </si>
  <si>
    <t>田秀侠</t>
  </si>
  <si>
    <t>桑蔚冉</t>
  </si>
  <si>
    <t>杨梦如</t>
  </si>
  <si>
    <t>尚小玉</t>
  </si>
  <si>
    <t>张丽君</t>
  </si>
  <si>
    <t>孙文倩</t>
  </si>
  <si>
    <t>刘华丽</t>
  </si>
  <si>
    <t>姚心如</t>
  </si>
  <si>
    <t>巴浩然</t>
  </si>
  <si>
    <t>付敏</t>
  </si>
  <si>
    <t>刘露露</t>
  </si>
  <si>
    <t>张莉莉</t>
  </si>
  <si>
    <t>桑小丽</t>
  </si>
  <si>
    <t>张瑞芝</t>
  </si>
  <si>
    <t>彭梦晴</t>
  </si>
  <si>
    <t>刘鑫情</t>
  </si>
  <si>
    <t>田晓杰</t>
  </si>
  <si>
    <t>张雨欢</t>
  </si>
  <si>
    <t>董莉苹</t>
  </si>
  <si>
    <t>徐畅</t>
  </si>
  <si>
    <t>宫丹丹</t>
  </si>
  <si>
    <t>陈想想</t>
  </si>
  <si>
    <t>各妮</t>
  </si>
  <si>
    <t>高赛文</t>
  </si>
  <si>
    <t>王静雅</t>
  </si>
  <si>
    <t>尚南南</t>
  </si>
  <si>
    <t>王紫琼</t>
  </si>
  <si>
    <t>张凤</t>
  </si>
  <si>
    <t>董一帆</t>
  </si>
  <si>
    <t>040-幼儿教师(闻集中心校二组)</t>
  </si>
  <si>
    <t>张瑞</t>
  </si>
  <si>
    <t>陈丽</t>
  </si>
  <si>
    <t>曹宇航</t>
  </si>
  <si>
    <t>叶露</t>
  </si>
  <si>
    <t>谢淑婷</t>
  </si>
  <si>
    <t>巩金凤</t>
  </si>
  <si>
    <t>陈晓燕</t>
  </si>
  <si>
    <t>刘璐</t>
  </si>
  <si>
    <t>刘卓雅</t>
  </si>
  <si>
    <t>凡小娟</t>
  </si>
  <si>
    <t>杨凤丽</t>
  </si>
  <si>
    <t>许楚</t>
  </si>
  <si>
    <t>吴玲</t>
  </si>
  <si>
    <t>谢子晴</t>
  </si>
  <si>
    <t>王梦娟</t>
  </si>
  <si>
    <t>郭丽丽</t>
  </si>
  <si>
    <t>陶倩文</t>
  </si>
  <si>
    <t>谢言言</t>
  </si>
  <si>
    <t>薛秋梅</t>
  </si>
  <si>
    <t>王文静</t>
  </si>
  <si>
    <t>范雨杰</t>
  </si>
  <si>
    <t>陈程</t>
  </si>
  <si>
    <t>哈梦梓</t>
  </si>
  <si>
    <t>王肖肖</t>
  </si>
  <si>
    <t>王琰铭</t>
  </si>
  <si>
    <t>滑妮</t>
  </si>
  <si>
    <t>王晓晴</t>
  </si>
  <si>
    <t>邹雨婷</t>
  </si>
  <si>
    <t>齐晓婷</t>
  </si>
  <si>
    <t>石钺</t>
  </si>
  <si>
    <t>翟海桥</t>
  </si>
  <si>
    <t>刘海虹</t>
  </si>
  <si>
    <t>041-幼儿教师(苏屯中心校一组)</t>
  </si>
  <si>
    <t>张翠</t>
  </si>
  <si>
    <t>李心如</t>
  </si>
  <si>
    <t>李雨双</t>
  </si>
  <si>
    <t>常丹丹</t>
  </si>
  <si>
    <t>徐诗文</t>
  </si>
  <si>
    <t>张锐利</t>
  </si>
  <si>
    <t>常小芳</t>
  </si>
  <si>
    <t>谢丽倩</t>
  </si>
  <si>
    <t>刘远远</t>
  </si>
  <si>
    <t>冯瑶瑶</t>
  </si>
  <si>
    <t>刘珊珊</t>
  </si>
  <si>
    <t>张晓莉</t>
  </si>
  <si>
    <t>韦双环</t>
  </si>
  <si>
    <t>申慧月</t>
  </si>
  <si>
    <t>朱娟</t>
  </si>
  <si>
    <t>魏田田</t>
  </si>
  <si>
    <t>郭亚男</t>
  </si>
  <si>
    <t>牛亚楠</t>
  </si>
  <si>
    <t>何芳</t>
  </si>
  <si>
    <t>李玉梅</t>
  </si>
  <si>
    <t>李姣姣</t>
  </si>
  <si>
    <t>徐苗</t>
  </si>
  <si>
    <t>蒋坤利</t>
  </si>
  <si>
    <t>刘亚晗</t>
  </si>
  <si>
    <t>张俊玉</t>
  </si>
  <si>
    <t>胡静</t>
  </si>
  <si>
    <t>薛淼</t>
  </si>
  <si>
    <t>于晓莉</t>
  </si>
  <si>
    <t>王晨晨</t>
  </si>
  <si>
    <t>042-幼儿教师(苏屯中心校二组)</t>
  </si>
  <si>
    <t>王平</t>
  </si>
  <si>
    <t>祝全到</t>
  </si>
  <si>
    <t>陈秋雨</t>
  </si>
  <si>
    <t>孔影</t>
  </si>
  <si>
    <t>孙春艳</t>
  </si>
  <si>
    <t>曹露冉</t>
  </si>
  <si>
    <t>周鑫雨</t>
  </si>
  <si>
    <t>刘宇</t>
  </si>
  <si>
    <t>郭锐婷</t>
  </si>
  <si>
    <t>尹赛娜</t>
  </si>
  <si>
    <t>常大芳</t>
  </si>
  <si>
    <t>杨苗苗</t>
  </si>
  <si>
    <t>曹海侠</t>
  </si>
  <si>
    <t>杨宇新</t>
  </si>
  <si>
    <t>刘妮</t>
  </si>
  <si>
    <t>刘先玲</t>
  </si>
  <si>
    <t>胡守玲</t>
  </si>
  <si>
    <t>田娜</t>
  </si>
  <si>
    <t>冯欣欣</t>
  </si>
  <si>
    <t>王安柯</t>
  </si>
  <si>
    <t>宫苗苗</t>
  </si>
  <si>
    <t>杜小盼</t>
  </si>
  <si>
    <t>高亚文</t>
  </si>
  <si>
    <t>余晖晖</t>
  </si>
  <si>
    <t>姜小宇</t>
  </si>
  <si>
    <t>陈钰</t>
  </si>
  <si>
    <t>徐静娴</t>
  </si>
  <si>
    <t>宋晓艳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</si>
</sst>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99"/>
  <sheetViews>
    <sheetView tabSelected="1" workbookViewId="0">
      <selection activeCell="O6" sqref="O6"/>
    </sheetView>
  </sheetViews>
  <sheetFormatPr defaultColWidth="9" defaultRowHeight="13.5"/>
  <cols>
    <col min="1" max="1" width="25.625" customWidth="1"/>
    <col min="2" max="2" width="32.125" customWidth="1"/>
    <col min="3" max="3" width="9" customWidth="1"/>
    <col min="4" max="4" width="12.625" customWidth="1"/>
    <col min="5" max="6" width="7.375" customWidth="1"/>
    <col min="7" max="7" width="13.75" customWidth="1"/>
    <col min="8" max="8" width="5.375" customWidth="1"/>
    <col min="9" max="9" width="9.375" customWidth="1"/>
    <col min="10" max="10" width="7" customWidth="1"/>
    <col min="11" max="11" width="9.375" customWidth="1"/>
    <col min="12" max="12" width="5.375" customWidth="1"/>
  </cols>
  <sheetData>
    <row r="1" s="1" customFormat="1" ht="39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8</v>
      </c>
      <c r="K2" s="6" t="s">
        <v>10</v>
      </c>
      <c r="L2" s="6" t="s">
        <v>11</v>
      </c>
    </row>
    <row r="3" s="1" customFormat="1" ht="20.1" customHeight="1" spans="1:13">
      <c r="A3" s="4" t="str">
        <f>"37502022022609341018732"</f>
        <v>37502022022609341018732</v>
      </c>
      <c r="B3" s="4" t="s">
        <v>12</v>
      </c>
      <c r="C3" s="4" t="s">
        <v>13</v>
      </c>
      <c r="D3" s="4" t="str">
        <f>"20220010208"</f>
        <v>20220010208</v>
      </c>
      <c r="E3" s="4" t="str">
        <f>"02"</f>
        <v>02</v>
      </c>
      <c r="F3" s="4" t="str">
        <f>"08"</f>
        <v>08</v>
      </c>
      <c r="G3" s="5">
        <v>76.42</v>
      </c>
      <c r="H3" s="5" t="s">
        <v>14</v>
      </c>
      <c r="I3" s="5">
        <v>90.4</v>
      </c>
      <c r="J3" s="5" t="s">
        <v>14</v>
      </c>
      <c r="K3" s="7">
        <v>86.21</v>
      </c>
      <c r="L3" s="8">
        <v>1</v>
      </c>
      <c r="M3" s="9"/>
    </row>
    <row r="4" s="1" customFormat="1" ht="20.1" customHeight="1" spans="1:13">
      <c r="A4" s="4" t="str">
        <f>"37502022022811431321830"</f>
        <v>37502022022811431321830</v>
      </c>
      <c r="B4" s="4" t="s">
        <v>12</v>
      </c>
      <c r="C4" s="4" t="s">
        <v>15</v>
      </c>
      <c r="D4" s="4" t="str">
        <f>"20220010220"</f>
        <v>20220010220</v>
      </c>
      <c r="E4" s="4" t="str">
        <f>"02"</f>
        <v>02</v>
      </c>
      <c r="F4" s="4" t="str">
        <f>"20"</f>
        <v>20</v>
      </c>
      <c r="G4" s="5">
        <v>91.74</v>
      </c>
      <c r="H4" s="5" t="s">
        <v>14</v>
      </c>
      <c r="I4" s="5">
        <v>81.1</v>
      </c>
      <c r="J4" s="5" t="s">
        <v>14</v>
      </c>
      <c r="K4" s="7">
        <v>84.29</v>
      </c>
      <c r="L4" s="8">
        <v>2</v>
      </c>
      <c r="M4" s="9"/>
    </row>
    <row r="5" s="1" customFormat="1" ht="20.1" customHeight="1" spans="1:13">
      <c r="A5" s="4" t="str">
        <f>"37502022022815334222500"</f>
        <v>37502022022815334222500</v>
      </c>
      <c r="B5" s="4" t="s">
        <v>12</v>
      </c>
      <c r="C5" s="4" t="s">
        <v>16</v>
      </c>
      <c r="D5" s="4" t="str">
        <f>"20220010322"</f>
        <v>20220010322</v>
      </c>
      <c r="E5" s="4" t="str">
        <f t="shared" ref="E5:E9" si="0">"03"</f>
        <v>03</v>
      </c>
      <c r="F5" s="4" t="str">
        <f>"22"</f>
        <v>22</v>
      </c>
      <c r="G5" s="5">
        <v>77.25</v>
      </c>
      <c r="H5" s="5" t="s">
        <v>14</v>
      </c>
      <c r="I5" s="5">
        <v>86.2</v>
      </c>
      <c r="J5" s="5" t="s">
        <v>14</v>
      </c>
      <c r="K5" s="7">
        <v>83.52</v>
      </c>
      <c r="L5" s="8">
        <v>3</v>
      </c>
      <c r="M5" s="9"/>
    </row>
    <row r="6" s="1" customFormat="1" ht="20.1" customHeight="1" spans="1:13">
      <c r="A6" s="4" t="str">
        <f>"37502022022610062318822"</f>
        <v>37502022022610062318822</v>
      </c>
      <c r="B6" s="4" t="s">
        <v>12</v>
      </c>
      <c r="C6" s="4" t="s">
        <v>17</v>
      </c>
      <c r="D6" s="4" t="str">
        <f>"20220010402"</f>
        <v>20220010402</v>
      </c>
      <c r="E6" s="4" t="str">
        <f>"04"</f>
        <v>04</v>
      </c>
      <c r="F6" s="4" t="str">
        <f>"02"</f>
        <v>02</v>
      </c>
      <c r="G6" s="5">
        <v>75.11</v>
      </c>
      <c r="H6" s="5" t="s">
        <v>14</v>
      </c>
      <c r="I6" s="5">
        <v>86.9</v>
      </c>
      <c r="J6" s="5" t="s">
        <v>14</v>
      </c>
      <c r="K6" s="7">
        <v>83.36</v>
      </c>
      <c r="L6" s="8">
        <v>4</v>
      </c>
      <c r="M6" s="9"/>
    </row>
    <row r="7" s="1" customFormat="1" ht="20.1" customHeight="1" spans="1:13">
      <c r="A7" s="4" t="str">
        <f>"37502022022610110318853"</f>
        <v>37502022022610110318853</v>
      </c>
      <c r="B7" s="4" t="s">
        <v>12</v>
      </c>
      <c r="C7" s="4" t="s">
        <v>18</v>
      </c>
      <c r="D7" s="4" t="str">
        <f>"20220010306"</f>
        <v>20220010306</v>
      </c>
      <c r="E7" s="4" t="str">
        <f t="shared" si="0"/>
        <v>03</v>
      </c>
      <c r="F7" s="4" t="str">
        <f>"06"</f>
        <v>06</v>
      </c>
      <c r="G7" s="5">
        <v>79.3</v>
      </c>
      <c r="H7" s="5" t="s">
        <v>14</v>
      </c>
      <c r="I7" s="5">
        <v>84.8</v>
      </c>
      <c r="J7" s="5" t="s">
        <v>14</v>
      </c>
      <c r="K7" s="7">
        <v>83.15</v>
      </c>
      <c r="L7" s="8">
        <v>5</v>
      </c>
      <c r="M7" s="9"/>
    </row>
    <row r="8" s="1" customFormat="1" ht="20.1" customHeight="1" spans="1:13">
      <c r="A8" s="4" t="str">
        <f>"37502022030114453823851"</f>
        <v>37502022030114453823851</v>
      </c>
      <c r="B8" s="4" t="s">
        <v>12</v>
      </c>
      <c r="C8" s="4" t="s">
        <v>19</v>
      </c>
      <c r="D8" s="4" t="str">
        <f>"20220010109"</f>
        <v>20220010109</v>
      </c>
      <c r="E8" s="4" t="str">
        <f t="shared" ref="E8:E11" si="1">"01"</f>
        <v>01</v>
      </c>
      <c r="F8" s="4" t="str">
        <f>"09"</f>
        <v>09</v>
      </c>
      <c r="G8" s="5">
        <v>80.17</v>
      </c>
      <c r="H8" s="5" t="s">
        <v>14</v>
      </c>
      <c r="I8" s="5">
        <v>84.2</v>
      </c>
      <c r="J8" s="5" t="s">
        <v>14</v>
      </c>
      <c r="K8" s="7">
        <v>82.99</v>
      </c>
      <c r="L8" s="8">
        <v>6</v>
      </c>
      <c r="M8" s="9"/>
    </row>
    <row r="9" s="1" customFormat="1" ht="20.1" customHeight="1" spans="1:13">
      <c r="A9" s="4" t="str">
        <f>"37502022030119213724342"</f>
        <v>37502022030119213724342</v>
      </c>
      <c r="B9" s="4" t="s">
        <v>12</v>
      </c>
      <c r="C9" s="4" t="s">
        <v>20</v>
      </c>
      <c r="D9" s="4" t="str">
        <f>"20220010317"</f>
        <v>20220010317</v>
      </c>
      <c r="E9" s="4" t="str">
        <f t="shared" si="0"/>
        <v>03</v>
      </c>
      <c r="F9" s="4" t="str">
        <f>"17"</f>
        <v>17</v>
      </c>
      <c r="G9" s="5">
        <v>83.55</v>
      </c>
      <c r="H9" s="5" t="s">
        <v>14</v>
      </c>
      <c r="I9" s="5">
        <v>81.2</v>
      </c>
      <c r="J9" s="5" t="s">
        <v>14</v>
      </c>
      <c r="K9" s="7">
        <v>81.91</v>
      </c>
      <c r="L9" s="8">
        <v>7</v>
      </c>
      <c r="M9" s="9"/>
    </row>
    <row r="10" s="1" customFormat="1" ht="20.1" customHeight="1" spans="1:13">
      <c r="A10" s="4" t="str">
        <f>"37502022022707375719861"</f>
        <v>37502022022707375719861</v>
      </c>
      <c r="B10" s="4" t="s">
        <v>12</v>
      </c>
      <c r="C10" s="4" t="s">
        <v>21</v>
      </c>
      <c r="D10" s="4" t="str">
        <f>"20220010107"</f>
        <v>20220010107</v>
      </c>
      <c r="E10" s="4" t="str">
        <f t="shared" si="1"/>
        <v>01</v>
      </c>
      <c r="F10" s="4" t="str">
        <f>"07"</f>
        <v>07</v>
      </c>
      <c r="G10" s="5">
        <v>78.81</v>
      </c>
      <c r="H10" s="5" t="s">
        <v>14</v>
      </c>
      <c r="I10" s="5">
        <v>82.8</v>
      </c>
      <c r="J10" s="5" t="s">
        <v>14</v>
      </c>
      <c r="K10" s="7">
        <v>81.6</v>
      </c>
      <c r="L10" s="8">
        <v>8</v>
      </c>
      <c r="M10" s="9"/>
    </row>
    <row r="11" s="1" customFormat="1" ht="20.1" customHeight="1" spans="1:13">
      <c r="A11" s="4" t="str">
        <f>"37502022022718391820596"</f>
        <v>37502022022718391820596</v>
      </c>
      <c r="B11" s="4" t="s">
        <v>12</v>
      </c>
      <c r="C11" s="4" t="s">
        <v>22</v>
      </c>
      <c r="D11" s="4" t="str">
        <f>"20220010118"</f>
        <v>20220010118</v>
      </c>
      <c r="E11" s="4" t="str">
        <f t="shared" si="1"/>
        <v>01</v>
      </c>
      <c r="F11" s="4" t="str">
        <f>"18"</f>
        <v>18</v>
      </c>
      <c r="G11" s="5">
        <v>80.36</v>
      </c>
      <c r="H11" s="5" t="s">
        <v>14</v>
      </c>
      <c r="I11" s="5">
        <v>81.9</v>
      </c>
      <c r="J11" s="5" t="s">
        <v>14</v>
      </c>
      <c r="K11" s="7">
        <v>81.44</v>
      </c>
      <c r="L11" s="8">
        <v>9</v>
      </c>
      <c r="M11" s="9"/>
    </row>
    <row r="12" s="1" customFormat="1" ht="20.1" customHeight="1" spans="1:13">
      <c r="A12" s="4" t="str">
        <f>"37502022022821130122995"</f>
        <v>37502022022821130122995</v>
      </c>
      <c r="B12" s="4" t="s">
        <v>12</v>
      </c>
      <c r="C12" s="4" t="s">
        <v>23</v>
      </c>
      <c r="D12" s="4" t="str">
        <f>"20220010325"</f>
        <v>20220010325</v>
      </c>
      <c r="E12" s="4" t="str">
        <f t="shared" ref="E12:E14" si="2">"03"</f>
        <v>03</v>
      </c>
      <c r="F12" s="4" t="str">
        <f>"25"</f>
        <v>25</v>
      </c>
      <c r="G12" s="5">
        <v>77.02</v>
      </c>
      <c r="H12" s="5" t="s">
        <v>14</v>
      </c>
      <c r="I12" s="5">
        <v>82.9</v>
      </c>
      <c r="J12" s="5" t="s">
        <v>14</v>
      </c>
      <c r="K12" s="7">
        <v>81.14</v>
      </c>
      <c r="L12" s="8">
        <v>10</v>
      </c>
      <c r="M12" s="9"/>
    </row>
    <row r="13" s="1" customFormat="1" ht="20.1" customHeight="1" spans="1:13">
      <c r="A13" s="4" t="str">
        <f>"37502022022609385118749"</f>
        <v>37502022022609385118749</v>
      </c>
      <c r="B13" s="4" t="s">
        <v>12</v>
      </c>
      <c r="C13" s="4" t="s">
        <v>24</v>
      </c>
      <c r="D13" s="4" t="str">
        <f>"20220010302"</f>
        <v>20220010302</v>
      </c>
      <c r="E13" s="4" t="str">
        <f t="shared" si="2"/>
        <v>03</v>
      </c>
      <c r="F13" s="4" t="str">
        <f>"02"</f>
        <v>02</v>
      </c>
      <c r="G13" s="5">
        <v>81.03</v>
      </c>
      <c r="H13" s="5" t="s">
        <v>14</v>
      </c>
      <c r="I13" s="5">
        <v>79</v>
      </c>
      <c r="J13" s="5" t="s">
        <v>14</v>
      </c>
      <c r="K13" s="7">
        <v>79.61</v>
      </c>
      <c r="L13" s="8">
        <v>11</v>
      </c>
      <c r="M13" s="9"/>
    </row>
    <row r="14" s="1" customFormat="1" ht="20.1" customHeight="1" spans="1:13">
      <c r="A14" s="4" t="str">
        <f>"37502022022609445218784"</f>
        <v>37502022022609445218784</v>
      </c>
      <c r="B14" s="4" t="s">
        <v>12</v>
      </c>
      <c r="C14" s="4" t="s">
        <v>25</v>
      </c>
      <c r="D14" s="4" t="str">
        <f>"20220010303"</f>
        <v>20220010303</v>
      </c>
      <c r="E14" s="4" t="str">
        <f t="shared" si="2"/>
        <v>03</v>
      </c>
      <c r="F14" s="4" t="str">
        <f>"03"</f>
        <v>03</v>
      </c>
      <c r="G14" s="5">
        <v>77.98</v>
      </c>
      <c r="H14" s="5" t="s">
        <v>14</v>
      </c>
      <c r="I14" s="5">
        <v>80.3</v>
      </c>
      <c r="J14" s="5" t="s">
        <v>14</v>
      </c>
      <c r="K14" s="7">
        <v>79.6</v>
      </c>
      <c r="L14" s="8">
        <v>12</v>
      </c>
      <c r="M14" s="9"/>
    </row>
    <row r="15" s="1" customFormat="1" ht="20.1" customHeight="1" spans="1:13">
      <c r="A15" s="4" t="str">
        <f>"37502022022608463118651"</f>
        <v>37502022022608463118651</v>
      </c>
      <c r="B15" s="4" t="s">
        <v>12</v>
      </c>
      <c r="C15" s="4" t="s">
        <v>26</v>
      </c>
      <c r="D15" s="4" t="str">
        <f>"20220010201"</f>
        <v>20220010201</v>
      </c>
      <c r="E15" s="4" t="str">
        <f t="shared" ref="E15:E20" si="3">"02"</f>
        <v>02</v>
      </c>
      <c r="F15" s="4" t="str">
        <f>"01"</f>
        <v>01</v>
      </c>
      <c r="G15" s="5">
        <v>74.27</v>
      </c>
      <c r="H15" s="5" t="s">
        <v>14</v>
      </c>
      <c r="I15" s="5">
        <v>81.7</v>
      </c>
      <c r="J15" s="5" t="s">
        <v>14</v>
      </c>
      <c r="K15" s="7">
        <v>79.47</v>
      </c>
      <c r="L15" s="8">
        <v>13</v>
      </c>
      <c r="M15" s="9"/>
    </row>
    <row r="16" s="1" customFormat="1" ht="20.1" customHeight="1" spans="1:13">
      <c r="A16" s="4" t="str">
        <f>"37502022030210045624986"</f>
        <v>37502022030210045624986</v>
      </c>
      <c r="B16" s="4" t="s">
        <v>12</v>
      </c>
      <c r="C16" s="4" t="s">
        <v>27</v>
      </c>
      <c r="D16" s="4" t="str">
        <f>"20220010115"</f>
        <v>20220010115</v>
      </c>
      <c r="E16" s="4" t="str">
        <f>"01"</f>
        <v>01</v>
      </c>
      <c r="F16" s="4" t="str">
        <f>"15"</f>
        <v>15</v>
      </c>
      <c r="G16" s="5">
        <v>76.97</v>
      </c>
      <c r="H16" s="5" t="s">
        <v>14</v>
      </c>
      <c r="I16" s="5">
        <v>78.7</v>
      </c>
      <c r="J16" s="5" t="s">
        <v>14</v>
      </c>
      <c r="K16" s="7">
        <v>78.18</v>
      </c>
      <c r="L16" s="8">
        <v>14</v>
      </c>
      <c r="M16" s="9"/>
    </row>
    <row r="17" s="1" customFormat="1" ht="20.1" customHeight="1" spans="1:13">
      <c r="A17" s="4" t="str">
        <f>"37502022022722071021023"</f>
        <v>37502022022722071021023</v>
      </c>
      <c r="B17" s="4" t="s">
        <v>12</v>
      </c>
      <c r="C17" s="4" t="s">
        <v>28</v>
      </c>
      <c r="D17" s="4" t="str">
        <f>"20220010215"</f>
        <v>20220010215</v>
      </c>
      <c r="E17" s="4" t="str">
        <f t="shared" si="3"/>
        <v>02</v>
      </c>
      <c r="F17" s="4" t="str">
        <f>"15"</f>
        <v>15</v>
      </c>
      <c r="G17" s="5">
        <v>74.95</v>
      </c>
      <c r="H17" s="5" t="s">
        <v>14</v>
      </c>
      <c r="I17" s="5">
        <v>77.7</v>
      </c>
      <c r="J17" s="5" t="s">
        <v>14</v>
      </c>
      <c r="K17" s="7">
        <v>76.88</v>
      </c>
      <c r="L17" s="8">
        <v>15</v>
      </c>
      <c r="M17" s="9"/>
    </row>
    <row r="18" s="1" customFormat="1" ht="20.1" customHeight="1" spans="1:13">
      <c r="A18" s="4" t="str">
        <f>"37502022030114374223844"</f>
        <v>37502022030114374223844</v>
      </c>
      <c r="B18" s="4" t="s">
        <v>12</v>
      </c>
      <c r="C18" s="4" t="s">
        <v>29</v>
      </c>
      <c r="D18" s="4" t="str">
        <f>"20220010214"</f>
        <v>20220010214</v>
      </c>
      <c r="E18" s="4" t="str">
        <f t="shared" si="3"/>
        <v>02</v>
      </c>
      <c r="F18" s="4" t="str">
        <f>"14"</f>
        <v>14</v>
      </c>
      <c r="G18" s="5">
        <v>72.16</v>
      </c>
      <c r="H18" s="5" t="s">
        <v>14</v>
      </c>
      <c r="I18" s="5">
        <v>78</v>
      </c>
      <c r="J18" s="5" t="s">
        <v>14</v>
      </c>
      <c r="K18" s="7">
        <v>76.25</v>
      </c>
      <c r="L18" s="8">
        <v>16</v>
      </c>
      <c r="M18" s="9"/>
    </row>
    <row r="19" s="1" customFormat="1" ht="20.1" customHeight="1" spans="1:13">
      <c r="A19" s="4" t="str">
        <f>"37502022022716595720486"</f>
        <v>37502022022716595720486</v>
      </c>
      <c r="B19" s="4" t="s">
        <v>12</v>
      </c>
      <c r="C19" s="4" t="s">
        <v>30</v>
      </c>
      <c r="D19" s="4" t="str">
        <f>"20220010207"</f>
        <v>20220010207</v>
      </c>
      <c r="E19" s="4" t="str">
        <f t="shared" si="3"/>
        <v>02</v>
      </c>
      <c r="F19" s="4" t="str">
        <f>"07"</f>
        <v>07</v>
      </c>
      <c r="G19" s="5">
        <v>76.88</v>
      </c>
      <c r="H19" s="5" t="s">
        <v>14</v>
      </c>
      <c r="I19" s="5">
        <v>75.9</v>
      </c>
      <c r="J19" s="5" t="s">
        <v>14</v>
      </c>
      <c r="K19" s="7">
        <v>76.19</v>
      </c>
      <c r="L19" s="8">
        <v>17</v>
      </c>
      <c r="M19" s="9"/>
    </row>
    <row r="20" s="1" customFormat="1" ht="20.1" customHeight="1" spans="1:13">
      <c r="A20" s="4" t="str">
        <f>"37502022030216245625532"</f>
        <v>37502022030216245625532</v>
      </c>
      <c r="B20" s="4" t="s">
        <v>12</v>
      </c>
      <c r="C20" s="4" t="s">
        <v>31</v>
      </c>
      <c r="D20" s="4" t="str">
        <f>"20220010221"</f>
        <v>20220010221</v>
      </c>
      <c r="E20" s="4" t="str">
        <f t="shared" si="3"/>
        <v>02</v>
      </c>
      <c r="F20" s="4" t="str">
        <f>"21"</f>
        <v>21</v>
      </c>
      <c r="G20" s="5">
        <v>72.96</v>
      </c>
      <c r="H20" s="5" t="s">
        <v>14</v>
      </c>
      <c r="I20" s="5">
        <v>77.4</v>
      </c>
      <c r="J20" s="5" t="s">
        <v>14</v>
      </c>
      <c r="K20" s="7">
        <v>76.07</v>
      </c>
      <c r="L20" s="8">
        <v>18</v>
      </c>
      <c r="M20" s="9"/>
    </row>
    <row r="21" s="1" customFormat="1" ht="20.1" customHeight="1" spans="1:13">
      <c r="A21" s="4" t="str">
        <f>"37502022022714013420208"</f>
        <v>37502022022714013420208</v>
      </c>
      <c r="B21" s="4" t="s">
        <v>12</v>
      </c>
      <c r="C21" s="4" t="s">
        <v>32</v>
      </c>
      <c r="D21" s="4" t="str">
        <f>"20220010328"</f>
        <v>20220010328</v>
      </c>
      <c r="E21" s="4" t="str">
        <f t="shared" ref="E21:E24" si="4">"03"</f>
        <v>03</v>
      </c>
      <c r="F21" s="4" t="str">
        <f>"28"</f>
        <v>28</v>
      </c>
      <c r="G21" s="5">
        <v>61.21</v>
      </c>
      <c r="H21" s="5" t="s">
        <v>14</v>
      </c>
      <c r="I21" s="5">
        <v>82.2</v>
      </c>
      <c r="J21" s="5" t="s">
        <v>14</v>
      </c>
      <c r="K21" s="7">
        <v>75.9</v>
      </c>
      <c r="L21" s="8">
        <v>19</v>
      </c>
      <c r="M21" s="9"/>
    </row>
    <row r="22" s="1" customFormat="1" ht="20.1" customHeight="1" spans="1:13">
      <c r="A22" s="4" t="str">
        <f>"37502022022711093019995"</f>
        <v>37502022022711093019995</v>
      </c>
      <c r="B22" s="4" t="s">
        <v>12</v>
      </c>
      <c r="C22" s="4" t="s">
        <v>33</v>
      </c>
      <c r="D22" s="4" t="str">
        <f>"20220010128"</f>
        <v>20220010128</v>
      </c>
      <c r="E22" s="4" t="str">
        <f>"01"</f>
        <v>01</v>
      </c>
      <c r="F22" s="4" t="str">
        <f>"28"</f>
        <v>28</v>
      </c>
      <c r="G22" s="5">
        <v>73.28</v>
      </c>
      <c r="H22" s="5" t="s">
        <v>14</v>
      </c>
      <c r="I22" s="5">
        <v>76.7</v>
      </c>
      <c r="J22" s="5" t="s">
        <v>14</v>
      </c>
      <c r="K22" s="7">
        <v>75.67</v>
      </c>
      <c r="L22" s="8">
        <v>20</v>
      </c>
      <c r="M22" s="9"/>
    </row>
    <row r="23" s="1" customFormat="1" ht="20.1" customHeight="1" spans="1:13">
      <c r="A23" s="4" t="str">
        <f>"37502022022609423818778"</f>
        <v>37502022022609423818778</v>
      </c>
      <c r="B23" s="4" t="s">
        <v>12</v>
      </c>
      <c r="C23" s="4" t="s">
        <v>34</v>
      </c>
      <c r="D23" s="4" t="str">
        <f>"20220010323"</f>
        <v>20220010323</v>
      </c>
      <c r="E23" s="4" t="str">
        <f t="shared" si="4"/>
        <v>03</v>
      </c>
      <c r="F23" s="4" t="str">
        <f>"23"</f>
        <v>23</v>
      </c>
      <c r="G23" s="5">
        <v>70.5</v>
      </c>
      <c r="H23" s="5" t="s">
        <v>14</v>
      </c>
      <c r="I23" s="5">
        <v>77.5</v>
      </c>
      <c r="J23" s="5" t="s">
        <v>14</v>
      </c>
      <c r="K23" s="7">
        <v>75.4</v>
      </c>
      <c r="L23" s="8">
        <v>21</v>
      </c>
      <c r="M23" s="9"/>
    </row>
    <row r="24" s="1" customFormat="1" ht="20.1" customHeight="1" spans="1:13">
      <c r="A24" s="4" t="str">
        <f>"37502022030110191723372"</f>
        <v>37502022030110191723372</v>
      </c>
      <c r="B24" s="4" t="s">
        <v>12</v>
      </c>
      <c r="C24" s="4" t="s">
        <v>35</v>
      </c>
      <c r="D24" s="4" t="str">
        <f>"20220010321"</f>
        <v>20220010321</v>
      </c>
      <c r="E24" s="4" t="str">
        <f t="shared" si="4"/>
        <v>03</v>
      </c>
      <c r="F24" s="4" t="str">
        <f>"21"</f>
        <v>21</v>
      </c>
      <c r="G24" s="5">
        <v>77.52</v>
      </c>
      <c r="H24" s="5" t="s">
        <v>14</v>
      </c>
      <c r="I24" s="5">
        <v>73.8</v>
      </c>
      <c r="J24" s="5" t="s">
        <v>14</v>
      </c>
      <c r="K24" s="7">
        <v>74.92</v>
      </c>
      <c r="L24" s="8">
        <v>22</v>
      </c>
      <c r="M24" s="9"/>
    </row>
    <row r="25" s="1" customFormat="1" ht="20.1" customHeight="1" spans="1:13">
      <c r="A25" s="4" t="str">
        <f>"37502022022609382418747"</f>
        <v>37502022022609382418747</v>
      </c>
      <c r="B25" s="4" t="s">
        <v>12</v>
      </c>
      <c r="C25" s="4" t="s">
        <v>36</v>
      </c>
      <c r="D25" s="4" t="str">
        <f>"20220010213"</f>
        <v>20220010213</v>
      </c>
      <c r="E25" s="4" t="str">
        <f t="shared" ref="E25:E30" si="5">"02"</f>
        <v>02</v>
      </c>
      <c r="F25" s="4" t="str">
        <f>"13"</f>
        <v>13</v>
      </c>
      <c r="G25" s="5">
        <v>70.49</v>
      </c>
      <c r="H25" s="5" t="s">
        <v>14</v>
      </c>
      <c r="I25" s="5">
        <v>76.7</v>
      </c>
      <c r="J25" s="5" t="s">
        <v>14</v>
      </c>
      <c r="K25" s="7">
        <v>74.84</v>
      </c>
      <c r="L25" s="8">
        <v>23</v>
      </c>
      <c r="M25" s="9"/>
    </row>
    <row r="26" s="1" customFormat="1" ht="20.1" customHeight="1" spans="1:13">
      <c r="A26" s="4" t="str">
        <f>"37502022022711025319989"</f>
        <v>37502022022711025319989</v>
      </c>
      <c r="B26" s="4" t="s">
        <v>12</v>
      </c>
      <c r="C26" s="4" t="s">
        <v>37</v>
      </c>
      <c r="D26" s="4" t="str">
        <f>"20220010113"</f>
        <v>20220010113</v>
      </c>
      <c r="E26" s="4" t="str">
        <f>"01"</f>
        <v>01</v>
      </c>
      <c r="F26" s="4" t="str">
        <f>"13"</f>
        <v>13</v>
      </c>
      <c r="G26" s="5">
        <v>73.01</v>
      </c>
      <c r="H26" s="5" t="s">
        <v>14</v>
      </c>
      <c r="I26" s="5">
        <v>75.5</v>
      </c>
      <c r="J26" s="5" t="s">
        <v>14</v>
      </c>
      <c r="K26" s="7">
        <v>74.75</v>
      </c>
      <c r="L26" s="8">
        <v>24</v>
      </c>
      <c r="M26" s="9"/>
    </row>
    <row r="27" s="1" customFormat="1" ht="20.1" customHeight="1" spans="1:13">
      <c r="A27" s="4" t="str">
        <f>"37502022030112111523607"</f>
        <v>37502022030112111523607</v>
      </c>
      <c r="B27" s="4" t="s">
        <v>12</v>
      </c>
      <c r="C27" s="4" t="s">
        <v>38</v>
      </c>
      <c r="D27" s="4" t="str">
        <f>"20220010226"</f>
        <v>20220010226</v>
      </c>
      <c r="E27" s="4" t="str">
        <f t="shared" si="5"/>
        <v>02</v>
      </c>
      <c r="F27" s="4" t="str">
        <f>"26"</f>
        <v>26</v>
      </c>
      <c r="G27" s="5">
        <v>74.87</v>
      </c>
      <c r="H27" s="5" t="s">
        <v>14</v>
      </c>
      <c r="I27" s="5">
        <v>74.6</v>
      </c>
      <c r="J27" s="5" t="s">
        <v>14</v>
      </c>
      <c r="K27" s="7">
        <v>74.68</v>
      </c>
      <c r="L27" s="8">
        <v>25</v>
      </c>
      <c r="M27" s="9"/>
    </row>
    <row r="28" s="1" customFormat="1" ht="20.1" customHeight="1" spans="1:13">
      <c r="A28" s="4" t="str">
        <f>"37502022030213561625344"</f>
        <v>37502022030213561625344</v>
      </c>
      <c r="B28" s="4" t="s">
        <v>12</v>
      </c>
      <c r="C28" s="4" t="s">
        <v>39</v>
      </c>
      <c r="D28" s="4" t="str">
        <f>"20220010318"</f>
        <v>20220010318</v>
      </c>
      <c r="E28" s="4" t="str">
        <f t="shared" ref="E28:E33" si="6">"03"</f>
        <v>03</v>
      </c>
      <c r="F28" s="4" t="str">
        <f>"18"</f>
        <v>18</v>
      </c>
      <c r="G28" s="5">
        <v>74.7</v>
      </c>
      <c r="H28" s="5" t="s">
        <v>14</v>
      </c>
      <c r="I28" s="5">
        <v>74.5</v>
      </c>
      <c r="J28" s="5" t="s">
        <v>14</v>
      </c>
      <c r="K28" s="7">
        <v>74.56</v>
      </c>
      <c r="L28" s="8">
        <v>26</v>
      </c>
      <c r="M28" s="9"/>
    </row>
    <row r="29" s="1" customFormat="1" ht="20.1" customHeight="1" spans="1:13">
      <c r="A29" s="4" t="str">
        <f>"37502022022712062920075"</f>
        <v>37502022022712062920075</v>
      </c>
      <c r="B29" s="4" t="s">
        <v>12</v>
      </c>
      <c r="C29" s="4" t="s">
        <v>40</v>
      </c>
      <c r="D29" s="4" t="str">
        <f>"20220010101"</f>
        <v>20220010101</v>
      </c>
      <c r="E29" s="4" t="str">
        <f>"01"</f>
        <v>01</v>
      </c>
      <c r="F29" s="4" t="str">
        <f>"01"</f>
        <v>01</v>
      </c>
      <c r="G29" s="5">
        <v>69.3</v>
      </c>
      <c r="H29" s="5" t="s">
        <v>14</v>
      </c>
      <c r="I29" s="5">
        <v>76.8</v>
      </c>
      <c r="J29" s="5" t="s">
        <v>14</v>
      </c>
      <c r="K29" s="7">
        <v>74.55</v>
      </c>
      <c r="L29" s="8">
        <v>27</v>
      </c>
      <c r="M29" s="9"/>
    </row>
    <row r="30" s="1" customFormat="1" ht="20.1" customHeight="1" spans="1:13">
      <c r="A30" s="4" t="str">
        <f>"37502022030213551725343"</f>
        <v>37502022030213551725343</v>
      </c>
      <c r="B30" s="4" t="s">
        <v>12</v>
      </c>
      <c r="C30" s="4" t="s">
        <v>41</v>
      </c>
      <c r="D30" s="4" t="str">
        <f>"20220010217"</f>
        <v>20220010217</v>
      </c>
      <c r="E30" s="4" t="str">
        <f t="shared" si="5"/>
        <v>02</v>
      </c>
      <c r="F30" s="4" t="str">
        <f>"17"</f>
        <v>17</v>
      </c>
      <c r="G30" s="5">
        <v>65.74</v>
      </c>
      <c r="H30" s="5" t="s">
        <v>14</v>
      </c>
      <c r="I30" s="5">
        <v>78.2</v>
      </c>
      <c r="J30" s="5" t="s">
        <v>14</v>
      </c>
      <c r="K30" s="7">
        <v>74.46</v>
      </c>
      <c r="L30" s="8">
        <v>28</v>
      </c>
      <c r="M30" s="9"/>
    </row>
    <row r="31" s="1" customFormat="1" ht="20.1" customHeight="1" spans="1:13">
      <c r="A31" s="4" t="str">
        <f>"37502022022610510318962"</f>
        <v>37502022022610510318962</v>
      </c>
      <c r="B31" s="4" t="s">
        <v>12</v>
      </c>
      <c r="C31" s="4" t="s">
        <v>42</v>
      </c>
      <c r="D31" s="4" t="str">
        <f>"20220010312"</f>
        <v>20220010312</v>
      </c>
      <c r="E31" s="4" t="str">
        <f t="shared" si="6"/>
        <v>03</v>
      </c>
      <c r="F31" s="4" t="str">
        <f>"12"</f>
        <v>12</v>
      </c>
      <c r="G31" s="5">
        <v>76.27</v>
      </c>
      <c r="H31" s="5" t="s">
        <v>14</v>
      </c>
      <c r="I31" s="5">
        <v>72.3</v>
      </c>
      <c r="J31" s="5" t="s">
        <v>14</v>
      </c>
      <c r="K31" s="7">
        <v>73.49</v>
      </c>
      <c r="L31" s="8">
        <v>29</v>
      </c>
      <c r="M31" s="9"/>
    </row>
    <row r="32" s="1" customFormat="1" ht="20.1" customHeight="1" spans="1:13">
      <c r="A32" s="4" t="str">
        <f>"37502022022710452519968"</f>
        <v>37502022022710452519968</v>
      </c>
      <c r="B32" s="4" t="s">
        <v>12</v>
      </c>
      <c r="C32" s="4" t="s">
        <v>43</v>
      </c>
      <c r="D32" s="4" t="str">
        <f>"20220010305"</f>
        <v>20220010305</v>
      </c>
      <c r="E32" s="4" t="str">
        <f t="shared" si="6"/>
        <v>03</v>
      </c>
      <c r="F32" s="4" t="str">
        <f>"05"</f>
        <v>05</v>
      </c>
      <c r="G32" s="5">
        <v>71.83</v>
      </c>
      <c r="H32" s="5" t="s">
        <v>14</v>
      </c>
      <c r="I32" s="5">
        <v>73.7</v>
      </c>
      <c r="J32" s="5" t="s">
        <v>14</v>
      </c>
      <c r="K32" s="7">
        <v>73.14</v>
      </c>
      <c r="L32" s="8">
        <v>30</v>
      </c>
      <c r="M32" s="9"/>
    </row>
    <row r="33" s="1" customFormat="1" ht="20.1" customHeight="1" spans="1:13">
      <c r="A33" s="4" t="str">
        <f>"37502022030118530924276"</f>
        <v>37502022030118530924276</v>
      </c>
      <c r="B33" s="4" t="s">
        <v>12</v>
      </c>
      <c r="C33" s="4" t="s">
        <v>44</v>
      </c>
      <c r="D33" s="4" t="str">
        <f>"20220010309"</f>
        <v>20220010309</v>
      </c>
      <c r="E33" s="4" t="str">
        <f t="shared" si="6"/>
        <v>03</v>
      </c>
      <c r="F33" s="4" t="str">
        <f>"09"</f>
        <v>09</v>
      </c>
      <c r="G33" s="5">
        <v>74.07</v>
      </c>
      <c r="H33" s="5" t="s">
        <v>14</v>
      </c>
      <c r="I33" s="5">
        <v>71.5</v>
      </c>
      <c r="J33" s="5" t="s">
        <v>14</v>
      </c>
      <c r="K33" s="7">
        <v>72.27</v>
      </c>
      <c r="L33" s="8">
        <v>31</v>
      </c>
      <c r="M33" s="9"/>
    </row>
    <row r="34" s="1" customFormat="1" ht="20.1" customHeight="1" spans="1:13">
      <c r="A34" s="4" t="str">
        <f>"37502022030107255123102"</f>
        <v>37502022030107255123102</v>
      </c>
      <c r="B34" s="4" t="s">
        <v>12</v>
      </c>
      <c r="C34" s="4" t="s">
        <v>45</v>
      </c>
      <c r="D34" s="4" t="str">
        <f>"20220010230"</f>
        <v>20220010230</v>
      </c>
      <c r="E34" s="4" t="str">
        <f>"02"</f>
        <v>02</v>
      </c>
      <c r="F34" s="4" t="str">
        <f>"30"</f>
        <v>30</v>
      </c>
      <c r="G34" s="5">
        <v>71.71</v>
      </c>
      <c r="H34" s="5" t="s">
        <v>14</v>
      </c>
      <c r="I34" s="5">
        <v>72.5</v>
      </c>
      <c r="J34" s="5" t="s">
        <v>14</v>
      </c>
      <c r="K34" s="7">
        <v>72.26</v>
      </c>
      <c r="L34" s="8">
        <v>32</v>
      </c>
      <c r="M34" s="9"/>
    </row>
    <row r="35" s="1" customFormat="1" ht="20.1" customHeight="1" spans="1:13">
      <c r="A35" s="4" t="str">
        <f>"37502022022616553819414"</f>
        <v>37502022022616553819414</v>
      </c>
      <c r="B35" s="4" t="s">
        <v>12</v>
      </c>
      <c r="C35" s="4" t="s">
        <v>46</v>
      </c>
      <c r="D35" s="4" t="str">
        <f>"20220010102"</f>
        <v>20220010102</v>
      </c>
      <c r="E35" s="4" t="str">
        <f t="shared" ref="E35:E42" si="7">"01"</f>
        <v>01</v>
      </c>
      <c r="F35" s="4" t="str">
        <f>"02"</f>
        <v>02</v>
      </c>
      <c r="G35" s="5">
        <v>71.48</v>
      </c>
      <c r="H35" s="5" t="s">
        <v>14</v>
      </c>
      <c r="I35" s="5">
        <v>71.9</v>
      </c>
      <c r="J35" s="5" t="s">
        <v>14</v>
      </c>
      <c r="K35" s="7">
        <v>71.77</v>
      </c>
      <c r="L35" s="8">
        <v>33</v>
      </c>
      <c r="M35" s="9"/>
    </row>
    <row r="36" s="1" customFormat="1" ht="20.1" customHeight="1" spans="1:13">
      <c r="A36" s="4" t="str">
        <f>"37502022030109305923248"</f>
        <v>37502022030109305923248</v>
      </c>
      <c r="B36" s="4" t="s">
        <v>12</v>
      </c>
      <c r="C36" s="4" t="s">
        <v>47</v>
      </c>
      <c r="D36" s="4" t="str">
        <f>"20220010203"</f>
        <v>20220010203</v>
      </c>
      <c r="E36" s="4" t="str">
        <f>"02"</f>
        <v>02</v>
      </c>
      <c r="F36" s="4" t="str">
        <f>"03"</f>
        <v>03</v>
      </c>
      <c r="G36" s="5">
        <v>68.19</v>
      </c>
      <c r="H36" s="5" t="s">
        <v>14</v>
      </c>
      <c r="I36" s="5">
        <v>73</v>
      </c>
      <c r="J36" s="5" t="s">
        <v>14</v>
      </c>
      <c r="K36" s="7">
        <v>71.56</v>
      </c>
      <c r="L36" s="8">
        <v>34</v>
      </c>
      <c r="M36" s="9"/>
    </row>
    <row r="37" s="1" customFormat="1" ht="20.1" customHeight="1" spans="1:13">
      <c r="A37" s="4" t="str">
        <f>"37502022030121325624593"</f>
        <v>37502022030121325624593</v>
      </c>
      <c r="B37" s="4" t="s">
        <v>12</v>
      </c>
      <c r="C37" s="4" t="s">
        <v>48</v>
      </c>
      <c r="D37" s="4" t="str">
        <f>"20220010124"</f>
        <v>20220010124</v>
      </c>
      <c r="E37" s="4" t="str">
        <f t="shared" si="7"/>
        <v>01</v>
      </c>
      <c r="F37" s="4" t="str">
        <f>"24"</f>
        <v>24</v>
      </c>
      <c r="G37" s="5">
        <v>72.04</v>
      </c>
      <c r="H37" s="5" t="s">
        <v>14</v>
      </c>
      <c r="I37" s="5">
        <v>71</v>
      </c>
      <c r="J37" s="5" t="s">
        <v>14</v>
      </c>
      <c r="K37" s="7">
        <v>71.31</v>
      </c>
      <c r="L37" s="8">
        <v>35</v>
      </c>
      <c r="M37" s="9"/>
    </row>
    <row r="38" s="1" customFormat="1" ht="20.1" customHeight="1" spans="1:13">
      <c r="A38" s="4" t="str">
        <f>"37502022030110370123417"</f>
        <v>37502022030110370123417</v>
      </c>
      <c r="B38" s="4" t="s">
        <v>12</v>
      </c>
      <c r="C38" s="4" t="s">
        <v>49</v>
      </c>
      <c r="D38" s="4" t="str">
        <f>"20220010311"</f>
        <v>20220010311</v>
      </c>
      <c r="E38" s="4" t="str">
        <f t="shared" ref="E38:E44" si="8">"03"</f>
        <v>03</v>
      </c>
      <c r="F38" s="4" t="str">
        <f>"11"</f>
        <v>11</v>
      </c>
      <c r="G38" s="5">
        <v>68.95</v>
      </c>
      <c r="H38" s="5" t="s">
        <v>14</v>
      </c>
      <c r="I38" s="5">
        <v>72.2</v>
      </c>
      <c r="J38" s="5" t="s">
        <v>14</v>
      </c>
      <c r="K38" s="7">
        <v>71.23</v>
      </c>
      <c r="L38" s="8">
        <v>36</v>
      </c>
      <c r="M38" s="9"/>
    </row>
    <row r="39" s="1" customFormat="1" ht="20.1" customHeight="1" spans="1:13">
      <c r="A39" s="4" t="str">
        <f>"37502022030121060024544"</f>
        <v>37502022030121060024544</v>
      </c>
      <c r="B39" s="4" t="s">
        <v>12</v>
      </c>
      <c r="C39" s="4" t="s">
        <v>50</v>
      </c>
      <c r="D39" s="4" t="str">
        <f>"20220010319"</f>
        <v>20220010319</v>
      </c>
      <c r="E39" s="4" t="str">
        <f t="shared" si="8"/>
        <v>03</v>
      </c>
      <c r="F39" s="4" t="str">
        <f>"19"</f>
        <v>19</v>
      </c>
      <c r="G39" s="5">
        <v>69.64</v>
      </c>
      <c r="H39" s="5" t="s">
        <v>14</v>
      </c>
      <c r="I39" s="5">
        <v>71.9</v>
      </c>
      <c r="J39" s="5" t="s">
        <v>14</v>
      </c>
      <c r="K39" s="7">
        <v>71.22</v>
      </c>
      <c r="L39" s="8">
        <v>37</v>
      </c>
      <c r="M39" s="9"/>
    </row>
    <row r="40" s="1" customFormat="1" ht="20.1" customHeight="1" spans="1:13">
      <c r="A40" s="4" t="str">
        <f>"37502022030111543223581"</f>
        <v>37502022030111543223581</v>
      </c>
      <c r="B40" s="4" t="s">
        <v>12</v>
      </c>
      <c r="C40" s="4" t="s">
        <v>51</v>
      </c>
      <c r="D40" s="4" t="str">
        <f>"20220010123"</f>
        <v>20220010123</v>
      </c>
      <c r="E40" s="4" t="str">
        <f t="shared" si="7"/>
        <v>01</v>
      </c>
      <c r="F40" s="4" t="str">
        <f>"23"</f>
        <v>23</v>
      </c>
      <c r="G40" s="5">
        <v>75.43</v>
      </c>
      <c r="H40" s="5" t="s">
        <v>14</v>
      </c>
      <c r="I40" s="5">
        <v>69</v>
      </c>
      <c r="J40" s="5" t="s">
        <v>14</v>
      </c>
      <c r="K40" s="7">
        <v>70.93</v>
      </c>
      <c r="L40" s="8">
        <v>38</v>
      </c>
      <c r="M40" s="9"/>
    </row>
    <row r="41" s="1" customFormat="1" ht="20.1" customHeight="1" spans="1:13">
      <c r="A41" s="4" t="str">
        <f>"37502022030115521723961"</f>
        <v>37502022030115521723961</v>
      </c>
      <c r="B41" s="4" t="s">
        <v>12</v>
      </c>
      <c r="C41" s="4" t="s">
        <v>52</v>
      </c>
      <c r="D41" s="4" t="str">
        <f>"20220010111"</f>
        <v>20220010111</v>
      </c>
      <c r="E41" s="4" t="str">
        <f t="shared" si="7"/>
        <v>01</v>
      </c>
      <c r="F41" s="4" t="str">
        <f>"11"</f>
        <v>11</v>
      </c>
      <c r="G41" s="5">
        <v>68.29</v>
      </c>
      <c r="H41" s="5" t="s">
        <v>14</v>
      </c>
      <c r="I41" s="5">
        <v>71.7</v>
      </c>
      <c r="J41" s="5" t="s">
        <v>14</v>
      </c>
      <c r="K41" s="7">
        <v>70.68</v>
      </c>
      <c r="L41" s="8">
        <v>39</v>
      </c>
      <c r="M41" s="9"/>
    </row>
    <row r="42" s="1" customFormat="1" ht="20.1" customHeight="1" spans="1:13">
      <c r="A42" s="4" t="str">
        <f>"37502022022610163418882"</f>
        <v>37502022022610163418882</v>
      </c>
      <c r="B42" s="4" t="s">
        <v>12</v>
      </c>
      <c r="C42" s="4" t="s">
        <v>53</v>
      </c>
      <c r="D42" s="4" t="str">
        <f>"20220010120"</f>
        <v>20220010120</v>
      </c>
      <c r="E42" s="4" t="str">
        <f t="shared" si="7"/>
        <v>01</v>
      </c>
      <c r="F42" s="4" t="str">
        <f>"20"</f>
        <v>20</v>
      </c>
      <c r="G42" s="5">
        <v>73.84</v>
      </c>
      <c r="H42" s="5" t="s">
        <v>14</v>
      </c>
      <c r="I42" s="5">
        <v>68.7</v>
      </c>
      <c r="J42" s="5" t="s">
        <v>14</v>
      </c>
      <c r="K42" s="7">
        <v>70.24</v>
      </c>
      <c r="L42" s="8">
        <v>40</v>
      </c>
      <c r="M42" s="9"/>
    </row>
    <row r="43" s="1" customFormat="1" ht="20.1" customHeight="1" spans="1:13">
      <c r="A43" s="4" t="str">
        <f>"37502022030214462325413"</f>
        <v>37502022030214462325413</v>
      </c>
      <c r="B43" s="4" t="s">
        <v>12</v>
      </c>
      <c r="C43" s="4" t="s">
        <v>54</v>
      </c>
      <c r="D43" s="4" t="str">
        <f>"20220010313"</f>
        <v>20220010313</v>
      </c>
      <c r="E43" s="4" t="str">
        <f t="shared" si="8"/>
        <v>03</v>
      </c>
      <c r="F43" s="4" t="str">
        <f>"13"</f>
        <v>13</v>
      </c>
      <c r="G43" s="5">
        <v>64.78</v>
      </c>
      <c r="H43" s="5" t="s">
        <v>14</v>
      </c>
      <c r="I43" s="5">
        <v>71.9</v>
      </c>
      <c r="J43" s="5" t="s">
        <v>14</v>
      </c>
      <c r="K43" s="7">
        <v>69.76</v>
      </c>
      <c r="L43" s="8">
        <v>41</v>
      </c>
      <c r="M43" s="9"/>
    </row>
    <row r="44" s="1" customFormat="1" ht="20.1" customHeight="1" spans="1:13">
      <c r="A44" s="4" t="str">
        <f>"37502022022819301622893"</f>
        <v>37502022022819301622893</v>
      </c>
      <c r="B44" s="4" t="s">
        <v>12</v>
      </c>
      <c r="C44" s="4" t="s">
        <v>55</v>
      </c>
      <c r="D44" s="4" t="str">
        <f>"20220010326"</f>
        <v>20220010326</v>
      </c>
      <c r="E44" s="4" t="str">
        <f t="shared" si="8"/>
        <v>03</v>
      </c>
      <c r="F44" s="4" t="str">
        <f>"26"</f>
        <v>26</v>
      </c>
      <c r="G44" s="5">
        <v>67.83</v>
      </c>
      <c r="H44" s="5" t="s">
        <v>14</v>
      </c>
      <c r="I44" s="5">
        <v>70.4</v>
      </c>
      <c r="J44" s="5" t="s">
        <v>14</v>
      </c>
      <c r="K44" s="7">
        <v>69.63</v>
      </c>
      <c r="L44" s="8">
        <v>42</v>
      </c>
      <c r="M44" s="9"/>
    </row>
    <row r="45" s="1" customFormat="1" ht="20.1" customHeight="1" spans="1:13">
      <c r="A45" s="4" t="str">
        <f>"37502022022812000221864"</f>
        <v>37502022022812000221864</v>
      </c>
      <c r="B45" s="4" t="s">
        <v>12</v>
      </c>
      <c r="C45" s="4" t="s">
        <v>56</v>
      </c>
      <c r="D45" s="4" t="str">
        <f>"20220010112"</f>
        <v>20220010112</v>
      </c>
      <c r="E45" s="4" t="str">
        <f>"01"</f>
        <v>01</v>
      </c>
      <c r="F45" s="4" t="str">
        <f>"12"</f>
        <v>12</v>
      </c>
      <c r="G45" s="5">
        <v>65.73</v>
      </c>
      <c r="H45" s="5" t="s">
        <v>14</v>
      </c>
      <c r="I45" s="5">
        <v>70.7</v>
      </c>
      <c r="J45" s="5" t="s">
        <v>14</v>
      </c>
      <c r="K45" s="7">
        <v>69.21</v>
      </c>
      <c r="L45" s="8">
        <v>43</v>
      </c>
      <c r="M45" s="9"/>
    </row>
    <row r="46" s="1" customFormat="1" ht="20.1" customHeight="1" spans="1:13">
      <c r="A46" s="4" t="str">
        <f>"37502022022611100218990"</f>
        <v>37502022022611100218990</v>
      </c>
      <c r="B46" s="4" t="s">
        <v>12</v>
      </c>
      <c r="C46" s="4" t="s">
        <v>57</v>
      </c>
      <c r="D46" s="4" t="str">
        <f>"20220010125"</f>
        <v>20220010125</v>
      </c>
      <c r="E46" s="4" t="str">
        <f>"01"</f>
        <v>01</v>
      </c>
      <c r="F46" s="4" t="str">
        <f>"25"</f>
        <v>25</v>
      </c>
      <c r="G46" s="5">
        <v>70.21</v>
      </c>
      <c r="H46" s="5" t="s">
        <v>14</v>
      </c>
      <c r="I46" s="5">
        <v>67.9</v>
      </c>
      <c r="J46" s="5" t="s">
        <v>14</v>
      </c>
      <c r="K46" s="7">
        <v>68.59</v>
      </c>
      <c r="L46" s="8">
        <v>44</v>
      </c>
      <c r="M46" s="9"/>
    </row>
    <row r="47" s="1" customFormat="1" ht="20.1" customHeight="1" spans="1:13">
      <c r="A47" s="4" t="str">
        <f>"37502022022608474518653"</f>
        <v>37502022022608474518653</v>
      </c>
      <c r="B47" s="4" t="s">
        <v>12</v>
      </c>
      <c r="C47" s="4" t="s">
        <v>58</v>
      </c>
      <c r="D47" s="4" t="str">
        <f>"20220010314"</f>
        <v>20220010314</v>
      </c>
      <c r="E47" s="4" t="str">
        <f t="shared" ref="E47:E50" si="9">"03"</f>
        <v>03</v>
      </c>
      <c r="F47" s="4" t="str">
        <f>"14"</f>
        <v>14</v>
      </c>
      <c r="G47" s="5">
        <v>56.75</v>
      </c>
      <c r="H47" s="5" t="s">
        <v>14</v>
      </c>
      <c r="I47" s="5">
        <v>73.4</v>
      </c>
      <c r="J47" s="5" t="s">
        <v>14</v>
      </c>
      <c r="K47" s="7">
        <v>68.41</v>
      </c>
      <c r="L47" s="8">
        <v>45</v>
      </c>
      <c r="M47" s="9"/>
    </row>
    <row r="48" s="1" customFormat="1" ht="20.1" customHeight="1" spans="1:13">
      <c r="A48" s="4" t="str">
        <f>"37502022022609315318726"</f>
        <v>37502022022609315318726</v>
      </c>
      <c r="B48" s="4" t="s">
        <v>12</v>
      </c>
      <c r="C48" s="4" t="s">
        <v>59</v>
      </c>
      <c r="D48" s="4" t="str">
        <f>"20220010308"</f>
        <v>20220010308</v>
      </c>
      <c r="E48" s="4" t="str">
        <f t="shared" si="9"/>
        <v>03</v>
      </c>
      <c r="F48" s="4" t="str">
        <f>"08"</f>
        <v>08</v>
      </c>
      <c r="G48" s="5">
        <v>68.75</v>
      </c>
      <c r="H48" s="5" t="s">
        <v>14</v>
      </c>
      <c r="I48" s="5">
        <v>67.8</v>
      </c>
      <c r="J48" s="5" t="s">
        <v>14</v>
      </c>
      <c r="K48" s="7">
        <v>68.09</v>
      </c>
      <c r="L48" s="8">
        <v>46</v>
      </c>
      <c r="M48" s="9"/>
    </row>
    <row r="49" s="1" customFormat="1" ht="20.1" customHeight="1" spans="1:13">
      <c r="A49" s="4" t="str">
        <f>"37502022022712375720108"</f>
        <v>37502022022712375720108</v>
      </c>
      <c r="B49" s="4" t="s">
        <v>12</v>
      </c>
      <c r="C49" s="4" t="s">
        <v>60</v>
      </c>
      <c r="D49" s="4" t="str">
        <f>"20220010218"</f>
        <v>20220010218</v>
      </c>
      <c r="E49" s="4" t="str">
        <f t="shared" ref="E49:E53" si="10">"02"</f>
        <v>02</v>
      </c>
      <c r="F49" s="4" t="str">
        <f>"18"</f>
        <v>18</v>
      </c>
      <c r="G49" s="5">
        <v>73.74</v>
      </c>
      <c r="H49" s="5" t="s">
        <v>14</v>
      </c>
      <c r="I49" s="5">
        <v>65.5</v>
      </c>
      <c r="J49" s="5" t="s">
        <v>14</v>
      </c>
      <c r="K49" s="7">
        <v>67.97</v>
      </c>
      <c r="L49" s="8">
        <v>47</v>
      </c>
      <c r="M49" s="9"/>
    </row>
    <row r="50" s="1" customFormat="1" ht="20.1" customHeight="1" spans="1:13">
      <c r="A50" s="4" t="str">
        <f>"37502022022610134418873"</f>
        <v>37502022022610134418873</v>
      </c>
      <c r="B50" s="4" t="s">
        <v>12</v>
      </c>
      <c r="C50" s="4" t="s">
        <v>61</v>
      </c>
      <c r="D50" s="4" t="str">
        <f>"20220010315"</f>
        <v>20220010315</v>
      </c>
      <c r="E50" s="4" t="str">
        <f t="shared" si="9"/>
        <v>03</v>
      </c>
      <c r="F50" s="4" t="str">
        <f>"15"</f>
        <v>15</v>
      </c>
      <c r="G50" s="5">
        <v>61.44</v>
      </c>
      <c r="H50" s="5" t="s">
        <v>14</v>
      </c>
      <c r="I50" s="5">
        <v>69.2</v>
      </c>
      <c r="J50" s="5" t="s">
        <v>14</v>
      </c>
      <c r="K50" s="7">
        <v>66.87</v>
      </c>
      <c r="L50" s="8">
        <v>48</v>
      </c>
      <c r="M50" s="9"/>
    </row>
    <row r="51" s="1" customFormat="1" ht="20.1" customHeight="1" spans="1:13">
      <c r="A51" s="4" t="str">
        <f>"37502022030216344125542"</f>
        <v>37502022030216344125542</v>
      </c>
      <c r="B51" s="4" t="s">
        <v>12</v>
      </c>
      <c r="C51" s="4" t="s">
        <v>62</v>
      </c>
      <c r="D51" s="4" t="str">
        <f>"20220010202"</f>
        <v>20220010202</v>
      </c>
      <c r="E51" s="4" t="str">
        <f t="shared" si="10"/>
        <v>02</v>
      </c>
      <c r="F51" s="4" t="str">
        <f>"02"</f>
        <v>02</v>
      </c>
      <c r="G51" s="5">
        <v>67.3</v>
      </c>
      <c r="H51" s="5" t="s">
        <v>14</v>
      </c>
      <c r="I51" s="5">
        <v>64.8</v>
      </c>
      <c r="J51" s="5" t="s">
        <v>14</v>
      </c>
      <c r="K51" s="7">
        <v>65.55</v>
      </c>
      <c r="L51" s="8">
        <v>49</v>
      </c>
      <c r="M51" s="9"/>
    </row>
    <row r="52" s="1" customFormat="1" ht="20.1" customHeight="1" spans="1:13">
      <c r="A52" s="4" t="str">
        <f>"37502022022817252222790"</f>
        <v>37502022022817252222790</v>
      </c>
      <c r="B52" s="4" t="s">
        <v>12</v>
      </c>
      <c r="C52" s="4" t="s">
        <v>63</v>
      </c>
      <c r="D52" s="4" t="str">
        <f>"20220010228"</f>
        <v>20220010228</v>
      </c>
      <c r="E52" s="4" t="str">
        <f t="shared" si="10"/>
        <v>02</v>
      </c>
      <c r="F52" s="4" t="str">
        <f>"28"</f>
        <v>28</v>
      </c>
      <c r="G52" s="5">
        <v>65.32</v>
      </c>
      <c r="H52" s="5" t="s">
        <v>14</v>
      </c>
      <c r="I52" s="5">
        <v>65.4</v>
      </c>
      <c r="J52" s="5" t="s">
        <v>14</v>
      </c>
      <c r="K52" s="7">
        <v>65.38</v>
      </c>
      <c r="L52" s="8">
        <v>50</v>
      </c>
      <c r="M52" s="9"/>
    </row>
    <row r="53" s="1" customFormat="1" ht="20.1" customHeight="1" spans="1:13">
      <c r="A53" s="4" t="str">
        <f>"37502022022613205019159"</f>
        <v>37502022022613205019159</v>
      </c>
      <c r="B53" s="4" t="s">
        <v>12</v>
      </c>
      <c r="C53" s="4" t="s">
        <v>64</v>
      </c>
      <c r="D53" s="4" t="str">
        <f>"20220010225"</f>
        <v>20220010225</v>
      </c>
      <c r="E53" s="4" t="str">
        <f t="shared" si="10"/>
        <v>02</v>
      </c>
      <c r="F53" s="4" t="str">
        <f>"25"</f>
        <v>25</v>
      </c>
      <c r="G53" s="5">
        <v>66.78</v>
      </c>
      <c r="H53" s="5" t="s">
        <v>14</v>
      </c>
      <c r="I53" s="5">
        <v>63.8</v>
      </c>
      <c r="J53" s="5" t="s">
        <v>14</v>
      </c>
      <c r="K53" s="7">
        <v>64.69</v>
      </c>
      <c r="L53" s="8">
        <v>51</v>
      </c>
      <c r="M53" s="9"/>
    </row>
    <row r="54" s="1" customFormat="1" ht="20.1" customHeight="1" spans="1:13">
      <c r="A54" s="4" t="str">
        <f>"37502022030120583424530"</f>
        <v>37502022030120583424530</v>
      </c>
      <c r="B54" s="4" t="s">
        <v>12</v>
      </c>
      <c r="C54" s="4" t="s">
        <v>65</v>
      </c>
      <c r="D54" s="4" t="str">
        <f>"20220010129"</f>
        <v>20220010129</v>
      </c>
      <c r="E54" s="4" t="str">
        <f t="shared" ref="E54:E57" si="11">"01"</f>
        <v>01</v>
      </c>
      <c r="F54" s="4" t="str">
        <f>"29"</f>
        <v>29</v>
      </c>
      <c r="G54" s="5">
        <v>67.03</v>
      </c>
      <c r="H54" s="5" t="s">
        <v>14</v>
      </c>
      <c r="I54" s="5">
        <v>61.6</v>
      </c>
      <c r="J54" s="5" t="s">
        <v>14</v>
      </c>
      <c r="K54" s="7">
        <v>63.23</v>
      </c>
      <c r="L54" s="8">
        <v>52</v>
      </c>
      <c r="M54" s="9"/>
    </row>
    <row r="55" s="1" customFormat="1" ht="20.1" customHeight="1" spans="1:13">
      <c r="A55" s="4" t="str">
        <f>"37502022022716021320400"</f>
        <v>37502022022716021320400</v>
      </c>
      <c r="B55" s="4" t="s">
        <v>12</v>
      </c>
      <c r="C55" s="4" t="s">
        <v>66</v>
      </c>
      <c r="D55" s="4" t="str">
        <f>"20220010206"</f>
        <v>20220010206</v>
      </c>
      <c r="E55" s="4" t="str">
        <f>"02"</f>
        <v>02</v>
      </c>
      <c r="F55" s="4" t="str">
        <f>"06"</f>
        <v>06</v>
      </c>
      <c r="G55" s="5">
        <v>76.25</v>
      </c>
      <c r="H55" s="5" t="s">
        <v>14</v>
      </c>
      <c r="I55" s="5">
        <v>57.6</v>
      </c>
      <c r="J55" s="5" t="s">
        <v>14</v>
      </c>
      <c r="K55" s="7">
        <v>63.2</v>
      </c>
      <c r="L55" s="8">
        <v>53</v>
      </c>
      <c r="M55" s="9"/>
    </row>
    <row r="56" s="1" customFormat="1" ht="20.1" customHeight="1" spans="1:13">
      <c r="A56" s="4" t="str">
        <f>"37502022030222214726105"</f>
        <v>37502022030222214726105</v>
      </c>
      <c r="B56" s="4" t="s">
        <v>12</v>
      </c>
      <c r="C56" s="4" t="s">
        <v>67</v>
      </c>
      <c r="D56" s="4" t="str">
        <f>"20220010126"</f>
        <v>20220010126</v>
      </c>
      <c r="E56" s="4" t="str">
        <f t="shared" si="11"/>
        <v>01</v>
      </c>
      <c r="F56" s="4" t="str">
        <f>"26"</f>
        <v>26</v>
      </c>
      <c r="G56" s="5">
        <v>53.89</v>
      </c>
      <c r="H56" s="5" t="s">
        <v>14</v>
      </c>
      <c r="I56" s="5">
        <v>56.4</v>
      </c>
      <c r="J56" s="5" t="s">
        <v>14</v>
      </c>
      <c r="K56" s="7">
        <v>55.65</v>
      </c>
      <c r="L56" s="8">
        <v>54</v>
      </c>
      <c r="M56" s="9"/>
    </row>
    <row r="57" s="1" customFormat="1" ht="20.1" customHeight="1" spans="1:13">
      <c r="A57" s="4" t="str">
        <f>"37502022022619154619547"</f>
        <v>37502022022619154619547</v>
      </c>
      <c r="B57" s="4" t="s">
        <v>12</v>
      </c>
      <c r="C57" s="4" t="s">
        <v>68</v>
      </c>
      <c r="D57" s="4" t="str">
        <f>"20220010104"</f>
        <v>20220010104</v>
      </c>
      <c r="E57" s="4" t="str">
        <f t="shared" si="11"/>
        <v>01</v>
      </c>
      <c r="F57" s="4" t="str">
        <f>"04"</f>
        <v>04</v>
      </c>
      <c r="G57" s="5">
        <v>58.79</v>
      </c>
      <c r="H57" s="5" t="s">
        <v>14</v>
      </c>
      <c r="I57" s="5">
        <v>53.1</v>
      </c>
      <c r="J57" s="5" t="s">
        <v>14</v>
      </c>
      <c r="K57" s="7">
        <v>54.81</v>
      </c>
      <c r="L57" s="8">
        <v>55</v>
      </c>
      <c r="M57" s="9"/>
    </row>
    <row r="58" s="1" customFormat="1" ht="20.1" customHeight="1" spans="1:13">
      <c r="A58" s="4" t="str">
        <f>"37502022022610273618919"</f>
        <v>37502022022610273618919</v>
      </c>
      <c r="B58" s="4" t="s">
        <v>12</v>
      </c>
      <c r="C58" s="4" t="s">
        <v>69</v>
      </c>
      <c r="D58" s="4" t="str">
        <f>"20220010307"</f>
        <v>20220010307</v>
      </c>
      <c r="E58" s="4" t="str">
        <f>"03"</f>
        <v>03</v>
      </c>
      <c r="F58" s="4" t="str">
        <f>"07"</f>
        <v>07</v>
      </c>
      <c r="G58" s="5">
        <v>38.7</v>
      </c>
      <c r="H58" s="5" t="s">
        <v>14</v>
      </c>
      <c r="I58" s="5">
        <v>50.9</v>
      </c>
      <c r="J58" s="5" t="s">
        <v>14</v>
      </c>
      <c r="K58" s="7">
        <v>47.24</v>
      </c>
      <c r="L58" s="8">
        <v>56</v>
      </c>
      <c r="M58" s="9"/>
    </row>
    <row r="59" s="1" customFormat="1" ht="20.1" customHeight="1" spans="1:13">
      <c r="A59" s="4" t="str">
        <f>"37502022022717373520530"</f>
        <v>37502022022717373520530</v>
      </c>
      <c r="B59" s="4" t="s">
        <v>12</v>
      </c>
      <c r="C59" s="4" t="s">
        <v>70</v>
      </c>
      <c r="D59" s="4" t="str">
        <f>"20220010122"</f>
        <v>20220010122</v>
      </c>
      <c r="E59" s="4" t="str">
        <f t="shared" ref="E59:E63" si="12">"01"</f>
        <v>01</v>
      </c>
      <c r="F59" s="4" t="str">
        <f>"22"</f>
        <v>22</v>
      </c>
      <c r="G59" s="5">
        <v>42.39</v>
      </c>
      <c r="H59" s="5" t="s">
        <v>14</v>
      </c>
      <c r="I59" s="5">
        <v>41.4</v>
      </c>
      <c r="J59" s="5" t="s">
        <v>14</v>
      </c>
      <c r="K59" s="7">
        <v>41.7</v>
      </c>
      <c r="L59" s="8">
        <v>57</v>
      </c>
      <c r="M59" s="9"/>
    </row>
    <row r="60" s="1" customFormat="1" ht="20.1" customHeight="1" spans="1:13">
      <c r="A60" s="4" t="str">
        <f>"37502022022610081518831"</f>
        <v>37502022022610081518831</v>
      </c>
      <c r="B60" s="4" t="s">
        <v>12</v>
      </c>
      <c r="C60" s="4" t="s">
        <v>71</v>
      </c>
      <c r="D60" s="4" t="str">
        <f>"20220010106"</f>
        <v>20220010106</v>
      </c>
      <c r="E60" s="4" t="str">
        <f t="shared" si="12"/>
        <v>01</v>
      </c>
      <c r="F60" s="4" t="str">
        <f>"06"</f>
        <v>06</v>
      </c>
      <c r="G60" s="5">
        <v>40.45</v>
      </c>
      <c r="H60" s="5" t="s">
        <v>14</v>
      </c>
      <c r="I60" s="5">
        <v>0</v>
      </c>
      <c r="J60" s="5" t="s">
        <v>72</v>
      </c>
      <c r="K60" s="7">
        <v>12.14</v>
      </c>
      <c r="L60" s="8">
        <v>58</v>
      </c>
      <c r="M60" s="9"/>
    </row>
    <row r="61" s="1" customFormat="1" ht="20.1" customHeight="1" spans="1:13">
      <c r="A61" s="4" t="str">
        <f>"37502022030222355326119"</f>
        <v>37502022030222355326119</v>
      </c>
      <c r="B61" s="4" t="s">
        <v>12</v>
      </c>
      <c r="C61" s="4" t="s">
        <v>73</v>
      </c>
      <c r="D61" s="4" t="str">
        <f>"20220010216"</f>
        <v>20220010216</v>
      </c>
      <c r="E61" s="4" t="str">
        <f>"02"</f>
        <v>02</v>
      </c>
      <c r="F61" s="4" t="str">
        <f>"16"</f>
        <v>16</v>
      </c>
      <c r="G61" s="5">
        <v>19.61</v>
      </c>
      <c r="H61" s="5" t="s">
        <v>14</v>
      </c>
      <c r="I61" s="5">
        <v>0</v>
      </c>
      <c r="J61" s="5" t="s">
        <v>74</v>
      </c>
      <c r="K61" s="7">
        <v>5.88</v>
      </c>
      <c r="L61" s="8">
        <v>59</v>
      </c>
      <c r="M61" s="9"/>
    </row>
    <row r="62" s="1" customFormat="1" ht="20.1" customHeight="1" spans="1:13">
      <c r="A62" s="4" t="str">
        <f>"37502022022608082318619"</f>
        <v>37502022022608082318619</v>
      </c>
      <c r="B62" s="4" t="s">
        <v>12</v>
      </c>
      <c r="C62" s="4" t="s">
        <v>75</v>
      </c>
      <c r="D62" s="4" t="str">
        <f>"20220010127"</f>
        <v>20220010127</v>
      </c>
      <c r="E62" s="4" t="str">
        <f t="shared" si="12"/>
        <v>01</v>
      </c>
      <c r="F62" s="4" t="str">
        <f>"27"</f>
        <v>27</v>
      </c>
      <c r="G62" s="5">
        <v>0</v>
      </c>
      <c r="H62" s="5" t="s">
        <v>74</v>
      </c>
      <c r="I62" s="5">
        <v>0</v>
      </c>
      <c r="J62" s="5" t="s">
        <v>74</v>
      </c>
      <c r="K62" s="7">
        <v>0</v>
      </c>
      <c r="L62" s="8">
        <v>60</v>
      </c>
      <c r="M62" s="9"/>
    </row>
    <row r="63" s="1" customFormat="1" ht="20.1" customHeight="1" spans="1:13">
      <c r="A63" s="4" t="str">
        <f>"37502022022609195718698"</f>
        <v>37502022022609195718698</v>
      </c>
      <c r="B63" s="4" t="s">
        <v>12</v>
      </c>
      <c r="C63" s="4" t="s">
        <v>76</v>
      </c>
      <c r="D63" s="4" t="str">
        <f>"20220010121"</f>
        <v>20220010121</v>
      </c>
      <c r="E63" s="4" t="str">
        <f t="shared" si="12"/>
        <v>01</v>
      </c>
      <c r="F63" s="4" t="str">
        <f>"21"</f>
        <v>21</v>
      </c>
      <c r="G63" s="5">
        <v>0</v>
      </c>
      <c r="H63" s="5" t="s">
        <v>74</v>
      </c>
      <c r="I63" s="5">
        <v>0</v>
      </c>
      <c r="J63" s="5" t="s">
        <v>74</v>
      </c>
      <c r="K63" s="7">
        <v>0</v>
      </c>
      <c r="L63" s="8">
        <v>60</v>
      </c>
      <c r="M63" s="9"/>
    </row>
    <row r="64" s="1" customFormat="1" ht="20.1" customHeight="1" spans="1:13">
      <c r="A64" s="4" t="str">
        <f>"37502022022610065918824"</f>
        <v>37502022022610065918824</v>
      </c>
      <c r="B64" s="4" t="s">
        <v>12</v>
      </c>
      <c r="C64" s="4" t="s">
        <v>77</v>
      </c>
      <c r="D64" s="4" t="str">
        <f>"20220010330"</f>
        <v>20220010330</v>
      </c>
      <c r="E64" s="4" t="str">
        <f>"03"</f>
        <v>03</v>
      </c>
      <c r="F64" s="4" t="str">
        <f>"30"</f>
        <v>30</v>
      </c>
      <c r="G64" s="5">
        <v>0</v>
      </c>
      <c r="H64" s="5" t="s">
        <v>74</v>
      </c>
      <c r="I64" s="5">
        <v>0</v>
      </c>
      <c r="J64" s="5" t="s">
        <v>74</v>
      </c>
      <c r="K64" s="7">
        <v>0</v>
      </c>
      <c r="L64" s="8">
        <v>60</v>
      </c>
      <c r="M64" s="9"/>
    </row>
    <row r="65" s="1" customFormat="1" ht="20.1" customHeight="1" spans="1:13">
      <c r="A65" s="4" t="str">
        <f>"37502022022610170518888"</f>
        <v>37502022022610170518888</v>
      </c>
      <c r="B65" s="4" t="s">
        <v>12</v>
      </c>
      <c r="C65" s="4" t="s">
        <v>78</v>
      </c>
      <c r="D65" s="4" t="str">
        <f>"20220010110"</f>
        <v>20220010110</v>
      </c>
      <c r="E65" s="4" t="str">
        <f t="shared" ref="E65:E67" si="13">"01"</f>
        <v>01</v>
      </c>
      <c r="F65" s="4" t="str">
        <f>"10"</f>
        <v>10</v>
      </c>
      <c r="G65" s="5">
        <v>0</v>
      </c>
      <c r="H65" s="5" t="s">
        <v>74</v>
      </c>
      <c r="I65" s="5">
        <v>0</v>
      </c>
      <c r="J65" s="5" t="s">
        <v>74</v>
      </c>
      <c r="K65" s="7">
        <v>0</v>
      </c>
      <c r="L65" s="8">
        <v>60</v>
      </c>
      <c r="M65" s="9"/>
    </row>
    <row r="66" s="1" customFormat="1" ht="20.1" customHeight="1" spans="1:13">
      <c r="A66" s="4" t="str">
        <f>"37502022022610190918898"</f>
        <v>37502022022610190918898</v>
      </c>
      <c r="B66" s="4" t="s">
        <v>12</v>
      </c>
      <c r="C66" s="4" t="s">
        <v>79</v>
      </c>
      <c r="D66" s="4" t="str">
        <f>"20220010103"</f>
        <v>20220010103</v>
      </c>
      <c r="E66" s="4" t="str">
        <f t="shared" si="13"/>
        <v>01</v>
      </c>
      <c r="F66" s="4" t="str">
        <f>"03"</f>
        <v>03</v>
      </c>
      <c r="G66" s="5">
        <v>0</v>
      </c>
      <c r="H66" s="5" t="s">
        <v>74</v>
      </c>
      <c r="I66" s="5">
        <v>0</v>
      </c>
      <c r="J66" s="5" t="s">
        <v>74</v>
      </c>
      <c r="K66" s="7">
        <v>0</v>
      </c>
      <c r="L66" s="8">
        <v>60</v>
      </c>
      <c r="M66" s="9"/>
    </row>
    <row r="67" s="1" customFormat="1" ht="20.1" customHeight="1" spans="1:13">
      <c r="A67" s="4" t="str">
        <f>"37502022022617304819454"</f>
        <v>37502022022617304819454</v>
      </c>
      <c r="B67" s="4" t="s">
        <v>12</v>
      </c>
      <c r="C67" s="4" t="s">
        <v>80</v>
      </c>
      <c r="D67" s="4" t="str">
        <f>"20220010130"</f>
        <v>20220010130</v>
      </c>
      <c r="E67" s="4" t="str">
        <f t="shared" si="13"/>
        <v>01</v>
      </c>
      <c r="F67" s="4" t="str">
        <f>"30"</f>
        <v>30</v>
      </c>
      <c r="G67" s="5">
        <v>0</v>
      </c>
      <c r="H67" s="5" t="s">
        <v>74</v>
      </c>
      <c r="I67" s="5">
        <v>0</v>
      </c>
      <c r="J67" s="5" t="s">
        <v>74</v>
      </c>
      <c r="K67" s="7">
        <v>0</v>
      </c>
      <c r="L67" s="8">
        <v>60</v>
      </c>
      <c r="M67" s="9"/>
    </row>
    <row r="68" s="1" customFormat="1" ht="20.1" customHeight="1" spans="1:13">
      <c r="A68" s="4" t="str">
        <f>"37502022022618543819526"</f>
        <v>37502022022618543819526</v>
      </c>
      <c r="B68" s="4" t="s">
        <v>12</v>
      </c>
      <c r="C68" s="4" t="s">
        <v>81</v>
      </c>
      <c r="D68" s="4" t="str">
        <f>"20220010205"</f>
        <v>20220010205</v>
      </c>
      <c r="E68" s="4" t="str">
        <f>"02"</f>
        <v>02</v>
      </c>
      <c r="F68" s="4" t="str">
        <f>"05"</f>
        <v>05</v>
      </c>
      <c r="G68" s="5">
        <v>0</v>
      </c>
      <c r="H68" s="5" t="s">
        <v>74</v>
      </c>
      <c r="I68" s="5">
        <v>0</v>
      </c>
      <c r="J68" s="5" t="s">
        <v>74</v>
      </c>
      <c r="K68" s="7">
        <v>0</v>
      </c>
      <c r="L68" s="8">
        <v>60</v>
      </c>
      <c r="M68" s="9"/>
    </row>
    <row r="69" s="1" customFormat="1" ht="20.1" customHeight="1" spans="1:13">
      <c r="A69" s="4" t="str">
        <f>"37502022022620215619612"</f>
        <v>37502022022620215619612</v>
      </c>
      <c r="B69" s="4" t="s">
        <v>12</v>
      </c>
      <c r="C69" s="4" t="s">
        <v>82</v>
      </c>
      <c r="D69" s="4" t="str">
        <f>"20220010329"</f>
        <v>20220010329</v>
      </c>
      <c r="E69" s="4" t="str">
        <f>"03"</f>
        <v>03</v>
      </c>
      <c r="F69" s="4" t="str">
        <f>"29"</f>
        <v>29</v>
      </c>
      <c r="G69" s="5">
        <v>0</v>
      </c>
      <c r="H69" s="5" t="s">
        <v>74</v>
      </c>
      <c r="I69" s="5">
        <v>0</v>
      </c>
      <c r="J69" s="5" t="s">
        <v>74</v>
      </c>
      <c r="K69" s="7">
        <v>0</v>
      </c>
      <c r="L69" s="8">
        <v>60</v>
      </c>
      <c r="M69" s="9"/>
    </row>
    <row r="70" s="1" customFormat="1" ht="20.1" customHeight="1" spans="1:13">
      <c r="A70" s="4" t="str">
        <f>"37502022022709370419910"</f>
        <v>37502022022709370419910</v>
      </c>
      <c r="B70" s="4" t="s">
        <v>12</v>
      </c>
      <c r="C70" s="4" t="s">
        <v>83</v>
      </c>
      <c r="D70" s="4" t="str">
        <f>"20220010222"</f>
        <v>20220010222</v>
      </c>
      <c r="E70" s="4" t="str">
        <f>"02"</f>
        <v>02</v>
      </c>
      <c r="F70" s="4" t="str">
        <f>"22"</f>
        <v>22</v>
      </c>
      <c r="G70" s="5">
        <v>0</v>
      </c>
      <c r="H70" s="5" t="s">
        <v>74</v>
      </c>
      <c r="I70" s="5">
        <v>0</v>
      </c>
      <c r="J70" s="5" t="s">
        <v>74</v>
      </c>
      <c r="K70" s="7">
        <v>0</v>
      </c>
      <c r="L70" s="8">
        <v>60</v>
      </c>
      <c r="M70" s="9"/>
    </row>
    <row r="71" s="1" customFormat="1" ht="20.1" customHeight="1" spans="1:13">
      <c r="A71" s="4" t="str">
        <f>"37502022022715473120369"</f>
        <v>37502022022715473120369</v>
      </c>
      <c r="B71" s="4" t="s">
        <v>12</v>
      </c>
      <c r="C71" s="4" t="s">
        <v>84</v>
      </c>
      <c r="D71" s="4" t="str">
        <f>"20220010116"</f>
        <v>20220010116</v>
      </c>
      <c r="E71" s="4" t="str">
        <f t="shared" ref="E71:E75" si="14">"01"</f>
        <v>01</v>
      </c>
      <c r="F71" s="4" t="str">
        <f>"16"</f>
        <v>16</v>
      </c>
      <c r="G71" s="5">
        <v>0</v>
      </c>
      <c r="H71" s="5" t="s">
        <v>74</v>
      </c>
      <c r="I71" s="5">
        <v>0</v>
      </c>
      <c r="J71" s="5" t="s">
        <v>74</v>
      </c>
      <c r="K71" s="7">
        <v>0</v>
      </c>
      <c r="L71" s="8">
        <v>60</v>
      </c>
      <c r="M71" s="9"/>
    </row>
    <row r="72" s="1" customFormat="1" ht="20.1" customHeight="1" spans="1:13">
      <c r="A72" s="4" t="str">
        <f>"37502022022719234720657"</f>
        <v>37502022022719234720657</v>
      </c>
      <c r="B72" s="4" t="s">
        <v>12</v>
      </c>
      <c r="C72" s="4" t="s">
        <v>85</v>
      </c>
      <c r="D72" s="4" t="str">
        <f>"20220010316"</f>
        <v>20220010316</v>
      </c>
      <c r="E72" s="4" t="str">
        <f>"03"</f>
        <v>03</v>
      </c>
      <c r="F72" s="4" t="str">
        <f>"16"</f>
        <v>16</v>
      </c>
      <c r="G72" s="5">
        <v>0</v>
      </c>
      <c r="H72" s="5" t="s">
        <v>74</v>
      </c>
      <c r="I72" s="5">
        <v>0</v>
      </c>
      <c r="J72" s="5" t="s">
        <v>74</v>
      </c>
      <c r="K72" s="7">
        <v>0</v>
      </c>
      <c r="L72" s="8">
        <v>60</v>
      </c>
      <c r="M72" s="9"/>
    </row>
    <row r="73" s="1" customFormat="1" ht="20.1" customHeight="1" spans="1:13">
      <c r="A73" s="4" t="str">
        <f>"37502022022719281720670"</f>
        <v>37502022022719281720670</v>
      </c>
      <c r="B73" s="4" t="s">
        <v>12</v>
      </c>
      <c r="C73" s="4" t="s">
        <v>86</v>
      </c>
      <c r="D73" s="4" t="str">
        <f>"20220010108"</f>
        <v>20220010108</v>
      </c>
      <c r="E73" s="4" t="str">
        <f t="shared" si="14"/>
        <v>01</v>
      </c>
      <c r="F73" s="4" t="str">
        <f>"08"</f>
        <v>08</v>
      </c>
      <c r="G73" s="5">
        <v>0</v>
      </c>
      <c r="H73" s="5" t="s">
        <v>74</v>
      </c>
      <c r="I73" s="5">
        <v>0</v>
      </c>
      <c r="J73" s="5" t="s">
        <v>74</v>
      </c>
      <c r="K73" s="7">
        <v>0</v>
      </c>
      <c r="L73" s="8">
        <v>60</v>
      </c>
      <c r="M73" s="9"/>
    </row>
    <row r="74" s="1" customFormat="1" ht="20.1" customHeight="1" spans="1:13">
      <c r="A74" s="4" t="str">
        <f>"37502022022810443621666"</f>
        <v>37502022022810443621666</v>
      </c>
      <c r="B74" s="4" t="s">
        <v>12</v>
      </c>
      <c r="C74" s="4" t="s">
        <v>87</v>
      </c>
      <c r="D74" s="4" t="str">
        <f>"20220010401"</f>
        <v>20220010401</v>
      </c>
      <c r="E74" s="4" t="str">
        <f>"04"</f>
        <v>04</v>
      </c>
      <c r="F74" s="4" t="str">
        <f>"01"</f>
        <v>01</v>
      </c>
      <c r="G74" s="5">
        <v>0</v>
      </c>
      <c r="H74" s="5" t="s">
        <v>74</v>
      </c>
      <c r="I74" s="5">
        <v>0</v>
      </c>
      <c r="J74" s="5" t="s">
        <v>74</v>
      </c>
      <c r="K74" s="7">
        <v>0</v>
      </c>
      <c r="L74" s="8">
        <v>60</v>
      </c>
      <c r="M74" s="9"/>
    </row>
    <row r="75" s="1" customFormat="1" ht="20.1" customHeight="1" spans="1:13">
      <c r="A75" s="4" t="str">
        <f>"37502022022812363621957"</f>
        <v>37502022022812363621957</v>
      </c>
      <c r="B75" s="4" t="s">
        <v>12</v>
      </c>
      <c r="C75" s="4" t="s">
        <v>88</v>
      </c>
      <c r="D75" s="4" t="str">
        <f>"20220010114"</f>
        <v>20220010114</v>
      </c>
      <c r="E75" s="4" t="str">
        <f t="shared" si="14"/>
        <v>01</v>
      </c>
      <c r="F75" s="4" t="str">
        <f>"14"</f>
        <v>14</v>
      </c>
      <c r="G75" s="5">
        <v>0</v>
      </c>
      <c r="H75" s="5" t="s">
        <v>74</v>
      </c>
      <c r="I75" s="5">
        <v>0</v>
      </c>
      <c r="J75" s="5" t="s">
        <v>74</v>
      </c>
      <c r="K75" s="7">
        <v>0</v>
      </c>
      <c r="L75" s="8">
        <v>60</v>
      </c>
      <c r="M75" s="9"/>
    </row>
    <row r="76" s="1" customFormat="1" ht="20.1" customHeight="1" spans="1:13">
      <c r="A76" s="4" t="str">
        <f>"37502022022817081422772"</f>
        <v>37502022022817081422772</v>
      </c>
      <c r="B76" s="4" t="s">
        <v>12</v>
      </c>
      <c r="C76" s="4" t="s">
        <v>89</v>
      </c>
      <c r="D76" s="4" t="str">
        <f>"20220010224"</f>
        <v>20220010224</v>
      </c>
      <c r="E76" s="4" t="str">
        <f t="shared" ref="E76:E82" si="15">"02"</f>
        <v>02</v>
      </c>
      <c r="F76" s="4" t="str">
        <f>"24"</f>
        <v>24</v>
      </c>
      <c r="G76" s="5">
        <v>0</v>
      </c>
      <c r="H76" s="5" t="s">
        <v>74</v>
      </c>
      <c r="I76" s="5">
        <v>0</v>
      </c>
      <c r="J76" s="5" t="s">
        <v>74</v>
      </c>
      <c r="K76" s="7">
        <v>0</v>
      </c>
      <c r="L76" s="8">
        <v>60</v>
      </c>
      <c r="M76" s="9"/>
    </row>
    <row r="77" s="1" customFormat="1" ht="20.1" customHeight="1" spans="1:13">
      <c r="A77" s="4" t="str">
        <f>"37502022022821190723002"</f>
        <v>37502022022821190723002</v>
      </c>
      <c r="B77" s="4" t="s">
        <v>12</v>
      </c>
      <c r="C77" s="4" t="s">
        <v>90</v>
      </c>
      <c r="D77" s="4" t="str">
        <f>"20220010301"</f>
        <v>20220010301</v>
      </c>
      <c r="E77" s="4" t="str">
        <f>"03"</f>
        <v>03</v>
      </c>
      <c r="F77" s="4" t="str">
        <f>"01"</f>
        <v>01</v>
      </c>
      <c r="G77" s="5">
        <v>0</v>
      </c>
      <c r="H77" s="5" t="s">
        <v>74</v>
      </c>
      <c r="I77" s="5">
        <v>0</v>
      </c>
      <c r="J77" s="5" t="s">
        <v>74</v>
      </c>
      <c r="K77" s="7">
        <v>0</v>
      </c>
      <c r="L77" s="8">
        <v>60</v>
      </c>
      <c r="M77" s="9"/>
    </row>
    <row r="78" s="1" customFormat="1" ht="20.1" customHeight="1" spans="1:13">
      <c r="A78" s="4" t="str">
        <f>"37502022022821414723020"</f>
        <v>37502022022821414723020</v>
      </c>
      <c r="B78" s="4" t="s">
        <v>12</v>
      </c>
      <c r="C78" s="4" t="s">
        <v>91</v>
      </c>
      <c r="D78" s="4" t="str">
        <f>"20220010211"</f>
        <v>20220010211</v>
      </c>
      <c r="E78" s="4" t="str">
        <f t="shared" si="15"/>
        <v>02</v>
      </c>
      <c r="F78" s="4" t="str">
        <f>"11"</f>
        <v>11</v>
      </c>
      <c r="G78" s="5">
        <v>0</v>
      </c>
      <c r="H78" s="5" t="s">
        <v>74</v>
      </c>
      <c r="I78" s="5">
        <v>0</v>
      </c>
      <c r="J78" s="5" t="s">
        <v>74</v>
      </c>
      <c r="K78" s="7">
        <v>0</v>
      </c>
      <c r="L78" s="8">
        <v>60</v>
      </c>
      <c r="M78" s="9"/>
    </row>
    <row r="79" s="1" customFormat="1" ht="20.1" customHeight="1" spans="1:13">
      <c r="A79" s="4" t="str">
        <f>"37502022030108000423113"</f>
        <v>37502022030108000423113</v>
      </c>
      <c r="B79" s="4" t="s">
        <v>12</v>
      </c>
      <c r="C79" s="4" t="s">
        <v>92</v>
      </c>
      <c r="D79" s="4" t="str">
        <f>"20220010320"</f>
        <v>20220010320</v>
      </c>
      <c r="E79" s="4" t="str">
        <f>"03"</f>
        <v>03</v>
      </c>
      <c r="F79" s="4" t="str">
        <f>"20"</f>
        <v>20</v>
      </c>
      <c r="G79" s="5">
        <v>0</v>
      </c>
      <c r="H79" s="5" t="s">
        <v>74</v>
      </c>
      <c r="I79" s="5">
        <v>0</v>
      </c>
      <c r="J79" s="5" t="s">
        <v>74</v>
      </c>
      <c r="K79" s="7">
        <v>0</v>
      </c>
      <c r="L79" s="8">
        <v>60</v>
      </c>
      <c r="M79" s="9"/>
    </row>
    <row r="80" s="1" customFormat="1" ht="20.1" customHeight="1" spans="1:13">
      <c r="A80" s="4" t="str">
        <f>"37502022030108042323116"</f>
        <v>37502022030108042323116</v>
      </c>
      <c r="B80" s="4" t="s">
        <v>12</v>
      </c>
      <c r="C80" s="4" t="s">
        <v>93</v>
      </c>
      <c r="D80" s="4" t="str">
        <f>"20220010119"</f>
        <v>20220010119</v>
      </c>
      <c r="E80" s="4" t="str">
        <f>"01"</f>
        <v>01</v>
      </c>
      <c r="F80" s="4" t="str">
        <f>"19"</f>
        <v>19</v>
      </c>
      <c r="G80" s="5">
        <v>0</v>
      </c>
      <c r="H80" s="5" t="s">
        <v>74</v>
      </c>
      <c r="I80" s="5">
        <v>0</v>
      </c>
      <c r="J80" s="5" t="s">
        <v>74</v>
      </c>
      <c r="K80" s="7">
        <v>0</v>
      </c>
      <c r="L80" s="8">
        <v>60</v>
      </c>
      <c r="M80" s="9"/>
    </row>
    <row r="81" s="1" customFormat="1" ht="20.1" customHeight="1" spans="1:13">
      <c r="A81" s="4" t="str">
        <f>"37502022030115033323876"</f>
        <v>37502022030115033323876</v>
      </c>
      <c r="B81" s="4" t="s">
        <v>12</v>
      </c>
      <c r="C81" s="4" t="s">
        <v>94</v>
      </c>
      <c r="D81" s="4" t="str">
        <f>"20220010209"</f>
        <v>20220010209</v>
      </c>
      <c r="E81" s="4" t="str">
        <f t="shared" si="15"/>
        <v>02</v>
      </c>
      <c r="F81" s="4" t="str">
        <f>"09"</f>
        <v>09</v>
      </c>
      <c r="G81" s="5">
        <v>0</v>
      </c>
      <c r="H81" s="5" t="s">
        <v>74</v>
      </c>
      <c r="I81" s="5">
        <v>0</v>
      </c>
      <c r="J81" s="5" t="s">
        <v>74</v>
      </c>
      <c r="K81" s="7">
        <v>0</v>
      </c>
      <c r="L81" s="8">
        <v>60</v>
      </c>
      <c r="M81" s="9"/>
    </row>
    <row r="82" s="1" customFormat="1" ht="20.1" customHeight="1" spans="1:13">
      <c r="A82" s="4" t="str">
        <f>"37502022030117440724154"</f>
        <v>37502022030117440724154</v>
      </c>
      <c r="B82" s="4" t="s">
        <v>12</v>
      </c>
      <c r="C82" s="4" t="s">
        <v>95</v>
      </c>
      <c r="D82" s="4" t="str">
        <f>"20220010212"</f>
        <v>20220010212</v>
      </c>
      <c r="E82" s="4" t="str">
        <f t="shared" si="15"/>
        <v>02</v>
      </c>
      <c r="F82" s="4" t="str">
        <f>"12"</f>
        <v>12</v>
      </c>
      <c r="G82" s="5">
        <v>0</v>
      </c>
      <c r="H82" s="5" t="s">
        <v>74</v>
      </c>
      <c r="I82" s="5">
        <v>0</v>
      </c>
      <c r="J82" s="5" t="s">
        <v>74</v>
      </c>
      <c r="K82" s="7">
        <v>0</v>
      </c>
      <c r="L82" s="8">
        <v>60</v>
      </c>
      <c r="M82" s="9"/>
    </row>
    <row r="83" s="1" customFormat="1" ht="20.1" customHeight="1" spans="1:13">
      <c r="A83" s="4" t="str">
        <f>"37502022030118374724250"</f>
        <v>37502022030118374724250</v>
      </c>
      <c r="B83" s="4" t="s">
        <v>12</v>
      </c>
      <c r="C83" s="4" t="s">
        <v>96</v>
      </c>
      <c r="D83" s="4" t="str">
        <f>"20220010324"</f>
        <v>20220010324</v>
      </c>
      <c r="E83" s="4" t="str">
        <f>"03"</f>
        <v>03</v>
      </c>
      <c r="F83" s="4" t="str">
        <f>"24"</f>
        <v>24</v>
      </c>
      <c r="G83" s="5">
        <v>0</v>
      </c>
      <c r="H83" s="5" t="s">
        <v>74</v>
      </c>
      <c r="I83" s="5">
        <v>0</v>
      </c>
      <c r="J83" s="5" t="s">
        <v>74</v>
      </c>
      <c r="K83" s="7">
        <v>0</v>
      </c>
      <c r="L83" s="8">
        <v>60</v>
      </c>
      <c r="M83" s="9"/>
    </row>
    <row r="84" s="1" customFormat="1" ht="20.1" customHeight="1" spans="1:13">
      <c r="A84" s="4" t="str">
        <f>"37502022030119232024346"</f>
        <v>37502022030119232024346</v>
      </c>
      <c r="B84" s="4" t="s">
        <v>12</v>
      </c>
      <c r="C84" s="4" t="s">
        <v>97</v>
      </c>
      <c r="D84" s="4" t="str">
        <f>"20220010117"</f>
        <v>20220010117</v>
      </c>
      <c r="E84" s="4" t="str">
        <f>"01"</f>
        <v>01</v>
      </c>
      <c r="F84" s="4" t="str">
        <f>"17"</f>
        <v>17</v>
      </c>
      <c r="G84" s="5">
        <v>0</v>
      </c>
      <c r="H84" s="5" t="s">
        <v>74</v>
      </c>
      <c r="I84" s="5">
        <v>0</v>
      </c>
      <c r="J84" s="5" t="s">
        <v>74</v>
      </c>
      <c r="K84" s="7">
        <v>0</v>
      </c>
      <c r="L84" s="8">
        <v>60</v>
      </c>
      <c r="M84" s="9"/>
    </row>
    <row r="85" s="1" customFormat="1" ht="20.1" customHeight="1" spans="1:13">
      <c r="A85" s="4" t="str">
        <f>"37502022030122074024654"</f>
        <v>37502022030122074024654</v>
      </c>
      <c r="B85" s="4" t="s">
        <v>12</v>
      </c>
      <c r="C85" s="4" t="s">
        <v>98</v>
      </c>
      <c r="D85" s="4" t="str">
        <f>"20220010204"</f>
        <v>20220010204</v>
      </c>
      <c r="E85" s="4" t="str">
        <f t="shared" ref="E85:E88" si="16">"02"</f>
        <v>02</v>
      </c>
      <c r="F85" s="4" t="str">
        <f>"04"</f>
        <v>04</v>
      </c>
      <c r="G85" s="5">
        <v>0</v>
      </c>
      <c r="H85" s="5" t="s">
        <v>74</v>
      </c>
      <c r="I85" s="5">
        <v>0</v>
      </c>
      <c r="J85" s="5" t="s">
        <v>74</v>
      </c>
      <c r="K85" s="7">
        <v>0</v>
      </c>
      <c r="L85" s="8">
        <v>60</v>
      </c>
      <c r="M85" s="9"/>
    </row>
    <row r="86" s="1" customFormat="1" ht="20.1" customHeight="1" spans="1:13">
      <c r="A86" s="4" t="str">
        <f>"37502022030207541124803"</f>
        <v>37502022030207541124803</v>
      </c>
      <c r="B86" s="4" t="s">
        <v>12</v>
      </c>
      <c r="C86" s="4" t="s">
        <v>99</v>
      </c>
      <c r="D86" s="4" t="str">
        <f>"20220010210"</f>
        <v>20220010210</v>
      </c>
      <c r="E86" s="4" t="str">
        <f t="shared" si="16"/>
        <v>02</v>
      </c>
      <c r="F86" s="4" t="str">
        <f>"10"</f>
        <v>10</v>
      </c>
      <c r="G86" s="5">
        <v>0</v>
      </c>
      <c r="H86" s="5" t="s">
        <v>74</v>
      </c>
      <c r="I86" s="5">
        <v>0</v>
      </c>
      <c r="J86" s="5" t="s">
        <v>74</v>
      </c>
      <c r="K86" s="7">
        <v>0</v>
      </c>
      <c r="L86" s="8">
        <v>60</v>
      </c>
      <c r="M86" s="9"/>
    </row>
    <row r="87" s="1" customFormat="1" ht="20.1" customHeight="1" spans="1:13">
      <c r="A87" s="4" t="str">
        <f>"37502022030208211424825"</f>
        <v>37502022030208211424825</v>
      </c>
      <c r="B87" s="4" t="s">
        <v>12</v>
      </c>
      <c r="C87" s="4" t="s">
        <v>100</v>
      </c>
      <c r="D87" s="4" t="str">
        <f>"20220010227"</f>
        <v>20220010227</v>
      </c>
      <c r="E87" s="4" t="str">
        <f t="shared" si="16"/>
        <v>02</v>
      </c>
      <c r="F87" s="4" t="str">
        <f>"27"</f>
        <v>27</v>
      </c>
      <c r="G87" s="5">
        <v>0</v>
      </c>
      <c r="H87" s="5" t="s">
        <v>74</v>
      </c>
      <c r="I87" s="5">
        <v>0</v>
      </c>
      <c r="J87" s="5" t="s">
        <v>74</v>
      </c>
      <c r="K87" s="7">
        <v>0</v>
      </c>
      <c r="L87" s="8">
        <v>60</v>
      </c>
      <c r="M87" s="9"/>
    </row>
    <row r="88" s="1" customFormat="1" ht="20.1" customHeight="1" spans="1:13">
      <c r="A88" s="4" t="str">
        <f>"37502022030209220324908"</f>
        <v>37502022030209220324908</v>
      </c>
      <c r="B88" s="4" t="s">
        <v>12</v>
      </c>
      <c r="C88" s="4" t="s">
        <v>101</v>
      </c>
      <c r="D88" s="4" t="str">
        <f>"20220010219"</f>
        <v>20220010219</v>
      </c>
      <c r="E88" s="4" t="str">
        <f t="shared" si="16"/>
        <v>02</v>
      </c>
      <c r="F88" s="4" t="str">
        <f>"19"</f>
        <v>19</v>
      </c>
      <c r="G88" s="5">
        <v>0</v>
      </c>
      <c r="H88" s="5" t="s">
        <v>74</v>
      </c>
      <c r="I88" s="5">
        <v>0</v>
      </c>
      <c r="J88" s="5" t="s">
        <v>74</v>
      </c>
      <c r="K88" s="7">
        <v>0</v>
      </c>
      <c r="L88" s="8">
        <v>60</v>
      </c>
      <c r="M88" s="9"/>
    </row>
    <row r="89" s="1" customFormat="1" ht="20.1" customHeight="1" spans="1:13">
      <c r="A89" s="4" t="str">
        <f>"37502022030211411425144"</f>
        <v>37502022030211411425144</v>
      </c>
      <c r="B89" s="4" t="s">
        <v>12</v>
      </c>
      <c r="C89" s="4" t="s">
        <v>102</v>
      </c>
      <c r="D89" s="4" t="str">
        <f>"20220010327"</f>
        <v>20220010327</v>
      </c>
      <c r="E89" s="4" t="str">
        <f t="shared" ref="E89:E92" si="17">"03"</f>
        <v>03</v>
      </c>
      <c r="F89" s="4" t="str">
        <f>"27"</f>
        <v>27</v>
      </c>
      <c r="G89" s="5">
        <v>0</v>
      </c>
      <c r="H89" s="5" t="s">
        <v>74</v>
      </c>
      <c r="I89" s="5">
        <v>0</v>
      </c>
      <c r="J89" s="5" t="s">
        <v>74</v>
      </c>
      <c r="K89" s="7">
        <v>0</v>
      </c>
      <c r="L89" s="8">
        <v>60</v>
      </c>
      <c r="M89" s="9"/>
    </row>
    <row r="90" s="1" customFormat="1" ht="20.1" customHeight="1" spans="1:13">
      <c r="A90" s="4" t="str">
        <f>"37502022030214015225350"</f>
        <v>37502022030214015225350</v>
      </c>
      <c r="B90" s="4" t="s">
        <v>12</v>
      </c>
      <c r="C90" s="4" t="s">
        <v>103</v>
      </c>
      <c r="D90" s="4" t="str">
        <f>"20220010310"</f>
        <v>20220010310</v>
      </c>
      <c r="E90" s="4" t="str">
        <f t="shared" si="17"/>
        <v>03</v>
      </c>
      <c r="F90" s="4" t="str">
        <f>"10"</f>
        <v>10</v>
      </c>
      <c r="G90" s="5">
        <v>0</v>
      </c>
      <c r="H90" s="5" t="s">
        <v>74</v>
      </c>
      <c r="I90" s="5">
        <v>0</v>
      </c>
      <c r="J90" s="5" t="s">
        <v>74</v>
      </c>
      <c r="K90" s="7">
        <v>0</v>
      </c>
      <c r="L90" s="8">
        <v>60</v>
      </c>
      <c r="M90" s="9"/>
    </row>
    <row r="91" s="1" customFormat="1" ht="20.1" customHeight="1" spans="1:13">
      <c r="A91" s="4" t="str">
        <f>"37502022030215324325484"</f>
        <v>37502022030215324325484</v>
      </c>
      <c r="B91" s="4" t="s">
        <v>12</v>
      </c>
      <c r="C91" s="4" t="s">
        <v>104</v>
      </c>
      <c r="D91" s="4" t="str">
        <f>"20220010229"</f>
        <v>20220010229</v>
      </c>
      <c r="E91" s="4" t="str">
        <f>"02"</f>
        <v>02</v>
      </c>
      <c r="F91" s="4" t="str">
        <f>"29"</f>
        <v>29</v>
      </c>
      <c r="G91" s="5">
        <v>0</v>
      </c>
      <c r="H91" s="5" t="s">
        <v>74</v>
      </c>
      <c r="I91" s="5">
        <v>0</v>
      </c>
      <c r="J91" s="5" t="s">
        <v>74</v>
      </c>
      <c r="K91" s="7">
        <v>0</v>
      </c>
      <c r="L91" s="8">
        <v>60</v>
      </c>
      <c r="M91" s="9"/>
    </row>
    <row r="92" s="1" customFormat="1" ht="20.1" customHeight="1" spans="1:13">
      <c r="A92" s="4" t="str">
        <f>"37502022030220102725882"</f>
        <v>37502022030220102725882</v>
      </c>
      <c r="B92" s="4" t="s">
        <v>12</v>
      </c>
      <c r="C92" s="4" t="s">
        <v>105</v>
      </c>
      <c r="D92" s="4" t="str">
        <f>"20220010304"</f>
        <v>20220010304</v>
      </c>
      <c r="E92" s="4" t="str">
        <f t="shared" si="17"/>
        <v>03</v>
      </c>
      <c r="F92" s="4" t="str">
        <f>"04"</f>
        <v>04</v>
      </c>
      <c r="G92" s="5">
        <v>0</v>
      </c>
      <c r="H92" s="5" t="s">
        <v>74</v>
      </c>
      <c r="I92" s="5">
        <v>0</v>
      </c>
      <c r="J92" s="5" t="s">
        <v>74</v>
      </c>
      <c r="K92" s="7">
        <v>0</v>
      </c>
      <c r="L92" s="8">
        <v>60</v>
      </c>
      <c r="M92" s="9"/>
    </row>
    <row r="93" s="1" customFormat="1" ht="20.1" customHeight="1" spans="1:13">
      <c r="A93" s="4" t="str">
        <f>"37502022030222375026121"</f>
        <v>37502022030222375026121</v>
      </c>
      <c r="B93" s="4" t="s">
        <v>12</v>
      </c>
      <c r="C93" s="4" t="s">
        <v>106</v>
      </c>
      <c r="D93" s="4" t="str">
        <f>"20220010223"</f>
        <v>20220010223</v>
      </c>
      <c r="E93" s="4" t="str">
        <f>"02"</f>
        <v>02</v>
      </c>
      <c r="F93" s="4" t="str">
        <f>"23"</f>
        <v>23</v>
      </c>
      <c r="G93" s="5">
        <v>0</v>
      </c>
      <c r="H93" s="5" t="s">
        <v>74</v>
      </c>
      <c r="I93" s="5">
        <v>0</v>
      </c>
      <c r="J93" s="5" t="s">
        <v>74</v>
      </c>
      <c r="K93" s="7">
        <v>0</v>
      </c>
      <c r="L93" s="8">
        <v>60</v>
      </c>
      <c r="M93" s="9"/>
    </row>
    <row r="94" s="1" customFormat="1" ht="20.1" customHeight="1" spans="1:13">
      <c r="A94" s="4" t="str">
        <f>"37502022030222435526128"</f>
        <v>37502022030222435526128</v>
      </c>
      <c r="B94" s="4" t="s">
        <v>12</v>
      </c>
      <c r="C94" s="4" t="s">
        <v>107</v>
      </c>
      <c r="D94" s="4" t="str">
        <f>"20220010105"</f>
        <v>20220010105</v>
      </c>
      <c r="E94" s="4" t="str">
        <f>"01"</f>
        <v>01</v>
      </c>
      <c r="F94" s="4" t="str">
        <f>"05"</f>
        <v>05</v>
      </c>
      <c r="G94" s="5">
        <v>0</v>
      </c>
      <c r="H94" s="5" t="s">
        <v>74</v>
      </c>
      <c r="I94" s="5">
        <v>0</v>
      </c>
      <c r="J94" s="5" t="s">
        <v>74</v>
      </c>
      <c r="K94" s="7">
        <v>0</v>
      </c>
      <c r="L94" s="8">
        <v>60</v>
      </c>
      <c r="M94" s="9"/>
    </row>
    <row r="95" s="1" customFormat="1" ht="20.1" customHeight="1" spans="1:13">
      <c r="A95" s="4" t="str">
        <f>"37502022030110150323359"</f>
        <v>37502022030110150323359</v>
      </c>
      <c r="B95" s="4" t="s">
        <v>108</v>
      </c>
      <c r="C95" s="4" t="s">
        <v>109</v>
      </c>
      <c r="D95" s="4" t="str">
        <f>"20220020529"</f>
        <v>20220020529</v>
      </c>
      <c r="E95" s="4" t="str">
        <f>"05"</f>
        <v>05</v>
      </c>
      <c r="F95" s="4" t="str">
        <f>"29"</f>
        <v>29</v>
      </c>
      <c r="G95" s="5">
        <v>83.7</v>
      </c>
      <c r="H95" s="5" t="s">
        <v>14</v>
      </c>
      <c r="I95" s="5">
        <v>83.8</v>
      </c>
      <c r="J95" s="5" t="s">
        <v>14</v>
      </c>
      <c r="K95" s="7">
        <v>83.77</v>
      </c>
      <c r="L95" s="8">
        <v>1</v>
      </c>
      <c r="M95" s="9"/>
    </row>
    <row r="96" s="1" customFormat="1" ht="20.1" customHeight="1" spans="1:13">
      <c r="A96" s="4" t="str">
        <f>"37502022022609595618811"</f>
        <v>37502022022609595618811</v>
      </c>
      <c r="B96" s="4" t="s">
        <v>108</v>
      </c>
      <c r="C96" s="4" t="s">
        <v>110</v>
      </c>
      <c r="D96" s="4" t="str">
        <f>"20220020525"</f>
        <v>20220020525</v>
      </c>
      <c r="E96" s="4" t="str">
        <f>"05"</f>
        <v>05</v>
      </c>
      <c r="F96" s="4" t="str">
        <f>"25"</f>
        <v>25</v>
      </c>
      <c r="G96" s="5">
        <v>77.85</v>
      </c>
      <c r="H96" s="5" t="s">
        <v>14</v>
      </c>
      <c r="I96" s="5">
        <v>85.7</v>
      </c>
      <c r="J96" s="5" t="s">
        <v>14</v>
      </c>
      <c r="K96" s="7">
        <v>83.35</v>
      </c>
      <c r="L96" s="8">
        <v>2</v>
      </c>
      <c r="M96" s="9"/>
    </row>
    <row r="97" s="1" customFormat="1" ht="20.1" customHeight="1" spans="1:13">
      <c r="A97" s="4" t="str">
        <f>"37502022030110204823377"</f>
        <v>37502022030110204823377</v>
      </c>
      <c r="B97" s="4" t="s">
        <v>108</v>
      </c>
      <c r="C97" s="4" t="s">
        <v>111</v>
      </c>
      <c r="D97" s="4" t="str">
        <f>"20220020416"</f>
        <v>20220020416</v>
      </c>
      <c r="E97" s="4" t="str">
        <f t="shared" ref="E97:E100" si="18">"04"</f>
        <v>04</v>
      </c>
      <c r="F97" s="4" t="str">
        <f>"16"</f>
        <v>16</v>
      </c>
      <c r="G97" s="5">
        <v>79.01</v>
      </c>
      <c r="H97" s="5" t="s">
        <v>14</v>
      </c>
      <c r="I97" s="5">
        <v>83.6</v>
      </c>
      <c r="J97" s="5" t="s">
        <v>14</v>
      </c>
      <c r="K97" s="7">
        <v>82.22</v>
      </c>
      <c r="L97" s="8">
        <v>3</v>
      </c>
      <c r="M97" s="9"/>
    </row>
    <row r="98" s="1" customFormat="1" ht="20.1" customHeight="1" spans="1:13">
      <c r="A98" s="4" t="str">
        <f>"37502022022608453518649"</f>
        <v>37502022022608453518649</v>
      </c>
      <c r="B98" s="4" t="s">
        <v>108</v>
      </c>
      <c r="C98" s="4" t="s">
        <v>112</v>
      </c>
      <c r="D98" s="4" t="str">
        <f>"20220020426"</f>
        <v>20220020426</v>
      </c>
      <c r="E98" s="4" t="str">
        <f t="shared" si="18"/>
        <v>04</v>
      </c>
      <c r="F98" s="4" t="str">
        <f>"26"</f>
        <v>26</v>
      </c>
      <c r="G98" s="5">
        <v>72.77</v>
      </c>
      <c r="H98" s="5" t="s">
        <v>14</v>
      </c>
      <c r="I98" s="5">
        <v>85.6</v>
      </c>
      <c r="J98" s="5" t="s">
        <v>14</v>
      </c>
      <c r="K98" s="7">
        <v>81.75</v>
      </c>
      <c r="L98" s="8">
        <v>4</v>
      </c>
      <c r="M98" s="9"/>
    </row>
    <row r="99" s="1" customFormat="1" ht="20.1" customHeight="1" spans="1:13">
      <c r="A99" s="4" t="str">
        <f>"37502022022609430818780"</f>
        <v>37502022022609430818780</v>
      </c>
      <c r="B99" s="4" t="s">
        <v>108</v>
      </c>
      <c r="C99" s="4" t="s">
        <v>113</v>
      </c>
      <c r="D99" s="4" t="str">
        <f>"20220020614"</f>
        <v>20220020614</v>
      </c>
      <c r="E99" s="4" t="str">
        <f>"06"</f>
        <v>06</v>
      </c>
      <c r="F99" s="4" t="str">
        <f>"14"</f>
        <v>14</v>
      </c>
      <c r="G99" s="5">
        <v>77.06</v>
      </c>
      <c r="H99" s="5" t="s">
        <v>14</v>
      </c>
      <c r="I99" s="5">
        <v>82.5</v>
      </c>
      <c r="J99" s="5" t="s">
        <v>14</v>
      </c>
      <c r="K99" s="7">
        <v>80.87</v>
      </c>
      <c r="L99" s="8">
        <v>5</v>
      </c>
      <c r="M99" s="9"/>
    </row>
    <row r="100" s="1" customFormat="1" ht="20.1" customHeight="1" spans="1:13">
      <c r="A100" s="4" t="str">
        <f>"37502022022812152521899"</f>
        <v>37502022022812152521899</v>
      </c>
      <c r="B100" s="4" t="s">
        <v>108</v>
      </c>
      <c r="C100" s="4" t="s">
        <v>114</v>
      </c>
      <c r="D100" s="4" t="str">
        <f>"20220020404"</f>
        <v>20220020404</v>
      </c>
      <c r="E100" s="4" t="str">
        <f t="shared" si="18"/>
        <v>04</v>
      </c>
      <c r="F100" s="4" t="str">
        <f>"04"</f>
        <v>04</v>
      </c>
      <c r="G100" s="5">
        <v>80.4</v>
      </c>
      <c r="H100" s="5" t="s">
        <v>14</v>
      </c>
      <c r="I100" s="5">
        <v>81</v>
      </c>
      <c r="J100" s="5" t="s">
        <v>14</v>
      </c>
      <c r="K100" s="7">
        <v>80.82</v>
      </c>
      <c r="L100" s="8">
        <v>6</v>
      </c>
      <c r="M100" s="9"/>
    </row>
    <row r="101" s="1" customFormat="1" ht="20.1" customHeight="1" spans="1:13">
      <c r="A101" s="4" t="str">
        <f>"37502022022814430922320"</f>
        <v>37502022022814430922320</v>
      </c>
      <c r="B101" s="4" t="s">
        <v>108</v>
      </c>
      <c r="C101" s="4" t="s">
        <v>115</v>
      </c>
      <c r="D101" s="4" t="str">
        <f>"20220020505"</f>
        <v>20220020505</v>
      </c>
      <c r="E101" s="4" t="str">
        <f>"05"</f>
        <v>05</v>
      </c>
      <c r="F101" s="4" t="str">
        <f>"05"</f>
        <v>05</v>
      </c>
      <c r="G101" s="5">
        <v>71.97</v>
      </c>
      <c r="H101" s="5" t="s">
        <v>14</v>
      </c>
      <c r="I101" s="5">
        <v>84.2</v>
      </c>
      <c r="J101" s="5" t="s">
        <v>14</v>
      </c>
      <c r="K101" s="7">
        <v>80.53</v>
      </c>
      <c r="L101" s="8">
        <v>7</v>
      </c>
      <c r="M101" s="9"/>
    </row>
    <row r="102" s="1" customFormat="1" ht="20.1" customHeight="1" spans="1:13">
      <c r="A102" s="4" t="str">
        <f>"37502022022611012518979"</f>
        <v>37502022022611012518979</v>
      </c>
      <c r="B102" s="4" t="s">
        <v>108</v>
      </c>
      <c r="C102" s="4" t="s">
        <v>116</v>
      </c>
      <c r="D102" s="4" t="str">
        <f>"20220020403"</f>
        <v>20220020403</v>
      </c>
      <c r="E102" s="4" t="str">
        <f>"04"</f>
        <v>04</v>
      </c>
      <c r="F102" s="4" t="str">
        <f>"03"</f>
        <v>03</v>
      </c>
      <c r="G102" s="5">
        <v>78.76</v>
      </c>
      <c r="H102" s="5" t="s">
        <v>14</v>
      </c>
      <c r="I102" s="5">
        <v>80.2</v>
      </c>
      <c r="J102" s="5" t="s">
        <v>14</v>
      </c>
      <c r="K102" s="7">
        <v>79.77</v>
      </c>
      <c r="L102" s="8">
        <v>8</v>
      </c>
      <c r="M102" s="9"/>
    </row>
    <row r="103" s="1" customFormat="1" ht="20.1" customHeight="1" spans="1:13">
      <c r="A103" s="4" t="str">
        <f>"37502022030118195924215"</f>
        <v>37502022030118195924215</v>
      </c>
      <c r="B103" s="4" t="s">
        <v>108</v>
      </c>
      <c r="C103" s="4" t="s">
        <v>117</v>
      </c>
      <c r="D103" s="4" t="str">
        <f>"20220020512"</f>
        <v>20220020512</v>
      </c>
      <c r="E103" s="4" t="str">
        <f>"05"</f>
        <v>05</v>
      </c>
      <c r="F103" s="4" t="str">
        <f>"12"</f>
        <v>12</v>
      </c>
      <c r="G103" s="5">
        <v>77.99</v>
      </c>
      <c r="H103" s="5" t="s">
        <v>14</v>
      </c>
      <c r="I103" s="5">
        <v>80.3</v>
      </c>
      <c r="J103" s="5" t="s">
        <v>14</v>
      </c>
      <c r="K103" s="7">
        <v>79.61</v>
      </c>
      <c r="L103" s="8">
        <v>9</v>
      </c>
      <c r="M103" s="9"/>
    </row>
    <row r="104" s="1" customFormat="1" ht="20.1" customHeight="1" spans="1:13">
      <c r="A104" s="4" t="str">
        <f>"37502022022609270118715"</f>
        <v>37502022022609270118715</v>
      </c>
      <c r="B104" s="4" t="s">
        <v>108</v>
      </c>
      <c r="C104" s="4" t="s">
        <v>118</v>
      </c>
      <c r="D104" s="4" t="str">
        <f>"20220020618"</f>
        <v>20220020618</v>
      </c>
      <c r="E104" s="4" t="str">
        <f>"06"</f>
        <v>06</v>
      </c>
      <c r="F104" s="4" t="str">
        <f>"18"</f>
        <v>18</v>
      </c>
      <c r="G104" s="5">
        <v>74.95</v>
      </c>
      <c r="H104" s="5" t="s">
        <v>14</v>
      </c>
      <c r="I104" s="5">
        <v>81.2</v>
      </c>
      <c r="J104" s="5" t="s">
        <v>14</v>
      </c>
      <c r="K104" s="7">
        <v>79.33</v>
      </c>
      <c r="L104" s="8">
        <v>10</v>
      </c>
      <c r="M104" s="9"/>
    </row>
    <row r="105" s="1" customFormat="1" ht="20.1" customHeight="1" spans="1:13">
      <c r="A105" s="4" t="str">
        <f>"37502022030110383823422"</f>
        <v>37502022030110383823422</v>
      </c>
      <c r="B105" s="4" t="s">
        <v>108</v>
      </c>
      <c r="C105" s="4" t="s">
        <v>119</v>
      </c>
      <c r="D105" s="4" t="str">
        <f>"20220020414"</f>
        <v>20220020414</v>
      </c>
      <c r="E105" s="4" t="str">
        <f t="shared" ref="E105:E109" si="19">"04"</f>
        <v>04</v>
      </c>
      <c r="F105" s="4" t="str">
        <f>"14"</f>
        <v>14</v>
      </c>
      <c r="G105" s="5">
        <v>76.46</v>
      </c>
      <c r="H105" s="5" t="s">
        <v>14</v>
      </c>
      <c r="I105" s="5">
        <v>80.5</v>
      </c>
      <c r="J105" s="5" t="s">
        <v>14</v>
      </c>
      <c r="K105" s="7">
        <v>79.29</v>
      </c>
      <c r="L105" s="8">
        <v>11</v>
      </c>
      <c r="M105" s="9"/>
    </row>
    <row r="106" s="1" customFormat="1" ht="20.1" customHeight="1" spans="1:13">
      <c r="A106" s="4" t="str">
        <f>"37502022030115373323931"</f>
        <v>37502022030115373323931</v>
      </c>
      <c r="B106" s="4" t="s">
        <v>108</v>
      </c>
      <c r="C106" s="4" t="s">
        <v>120</v>
      </c>
      <c r="D106" s="4" t="str">
        <f>"20220020611"</f>
        <v>20220020611</v>
      </c>
      <c r="E106" s="4" t="str">
        <f>"06"</f>
        <v>06</v>
      </c>
      <c r="F106" s="4" t="str">
        <f>"11"</f>
        <v>11</v>
      </c>
      <c r="G106" s="5">
        <v>76.01</v>
      </c>
      <c r="H106" s="5" t="s">
        <v>14</v>
      </c>
      <c r="I106" s="5">
        <v>80.6</v>
      </c>
      <c r="J106" s="5" t="s">
        <v>14</v>
      </c>
      <c r="K106" s="7">
        <v>79.22</v>
      </c>
      <c r="L106" s="8">
        <v>12</v>
      </c>
      <c r="M106" s="9"/>
    </row>
    <row r="107" s="1" customFormat="1" ht="20.1" customHeight="1" spans="1:13">
      <c r="A107" s="4" t="str">
        <f>"37502022022823152223077"</f>
        <v>37502022022823152223077</v>
      </c>
      <c r="B107" s="4" t="s">
        <v>108</v>
      </c>
      <c r="C107" s="4" t="s">
        <v>121</v>
      </c>
      <c r="D107" s="4" t="str">
        <f>"20220020504"</f>
        <v>20220020504</v>
      </c>
      <c r="E107" s="4" t="str">
        <f t="shared" ref="E107:E112" si="20">"05"</f>
        <v>05</v>
      </c>
      <c r="F107" s="4" t="str">
        <f>"04"</f>
        <v>04</v>
      </c>
      <c r="G107" s="5">
        <v>73.66</v>
      </c>
      <c r="H107" s="5" t="s">
        <v>14</v>
      </c>
      <c r="I107" s="5">
        <v>81.4</v>
      </c>
      <c r="J107" s="5" t="s">
        <v>14</v>
      </c>
      <c r="K107" s="7">
        <v>79.08</v>
      </c>
      <c r="L107" s="8">
        <v>13</v>
      </c>
      <c r="M107" s="9"/>
    </row>
    <row r="108" s="1" customFormat="1" ht="20.1" customHeight="1" spans="1:13">
      <c r="A108" s="4" t="str">
        <f>"37502022022608015818608"</f>
        <v>37502022022608015818608</v>
      </c>
      <c r="B108" s="4" t="s">
        <v>108</v>
      </c>
      <c r="C108" s="4" t="s">
        <v>122</v>
      </c>
      <c r="D108" s="4" t="str">
        <f>"20220020415"</f>
        <v>20220020415</v>
      </c>
      <c r="E108" s="4" t="str">
        <f t="shared" si="19"/>
        <v>04</v>
      </c>
      <c r="F108" s="4" t="str">
        <f>"15"</f>
        <v>15</v>
      </c>
      <c r="G108" s="5">
        <v>71.87</v>
      </c>
      <c r="H108" s="5" t="s">
        <v>14</v>
      </c>
      <c r="I108" s="5">
        <v>80.3</v>
      </c>
      <c r="J108" s="5" t="s">
        <v>14</v>
      </c>
      <c r="K108" s="7">
        <v>77.77</v>
      </c>
      <c r="L108" s="8">
        <v>14</v>
      </c>
      <c r="M108" s="9"/>
    </row>
    <row r="109" s="1" customFormat="1" ht="20.1" customHeight="1" spans="1:13">
      <c r="A109" s="4" t="str">
        <f>"37502022022610111618857"</f>
        <v>37502022022610111618857</v>
      </c>
      <c r="B109" s="4" t="s">
        <v>108</v>
      </c>
      <c r="C109" s="4" t="s">
        <v>123</v>
      </c>
      <c r="D109" s="4" t="str">
        <f>"20220020407"</f>
        <v>20220020407</v>
      </c>
      <c r="E109" s="4" t="str">
        <f t="shared" si="19"/>
        <v>04</v>
      </c>
      <c r="F109" s="4" t="str">
        <f>"07"</f>
        <v>07</v>
      </c>
      <c r="G109" s="5">
        <v>79.53</v>
      </c>
      <c r="H109" s="5" t="s">
        <v>14</v>
      </c>
      <c r="I109" s="5">
        <v>76.8</v>
      </c>
      <c r="J109" s="5" t="s">
        <v>14</v>
      </c>
      <c r="K109" s="7">
        <v>77.62</v>
      </c>
      <c r="L109" s="8">
        <v>15</v>
      </c>
      <c r="M109" s="9"/>
    </row>
    <row r="110" s="1" customFormat="1" ht="20.1" customHeight="1" spans="1:13">
      <c r="A110" s="4" t="str">
        <f>"37502022022809383121486"</f>
        <v>37502022022809383121486</v>
      </c>
      <c r="B110" s="4" t="s">
        <v>108</v>
      </c>
      <c r="C110" s="4" t="s">
        <v>124</v>
      </c>
      <c r="D110" s="4" t="str">
        <f>"20220020522"</f>
        <v>20220020522</v>
      </c>
      <c r="E110" s="4" t="str">
        <f t="shared" si="20"/>
        <v>05</v>
      </c>
      <c r="F110" s="4" t="str">
        <f>"22"</f>
        <v>22</v>
      </c>
      <c r="G110" s="5">
        <v>73.05</v>
      </c>
      <c r="H110" s="5" t="s">
        <v>14</v>
      </c>
      <c r="I110" s="5">
        <v>79.5</v>
      </c>
      <c r="J110" s="5" t="s">
        <v>14</v>
      </c>
      <c r="K110" s="7">
        <v>77.57</v>
      </c>
      <c r="L110" s="8">
        <v>16</v>
      </c>
      <c r="M110" s="9"/>
    </row>
    <row r="111" s="1" customFormat="1" ht="20.1" customHeight="1" spans="1:13">
      <c r="A111" s="4" t="str">
        <f>"37502022030220214125907"</f>
        <v>37502022030220214125907</v>
      </c>
      <c r="B111" s="4" t="s">
        <v>108</v>
      </c>
      <c r="C111" s="4" t="s">
        <v>125</v>
      </c>
      <c r="D111" s="4" t="str">
        <f>"20220020517"</f>
        <v>20220020517</v>
      </c>
      <c r="E111" s="4" t="str">
        <f t="shared" si="20"/>
        <v>05</v>
      </c>
      <c r="F111" s="4" t="str">
        <f>"17"</f>
        <v>17</v>
      </c>
      <c r="G111" s="5">
        <v>74.74</v>
      </c>
      <c r="H111" s="5" t="s">
        <v>14</v>
      </c>
      <c r="I111" s="5">
        <v>78.6</v>
      </c>
      <c r="J111" s="5" t="s">
        <v>14</v>
      </c>
      <c r="K111" s="7">
        <v>77.44</v>
      </c>
      <c r="L111" s="8">
        <v>17</v>
      </c>
      <c r="M111" s="9"/>
    </row>
    <row r="112" s="1" customFormat="1" ht="20.1" customHeight="1" spans="1:13">
      <c r="A112" s="4" t="str">
        <f>"37502022022608095218623"</f>
        <v>37502022022608095218623</v>
      </c>
      <c r="B112" s="4" t="s">
        <v>108</v>
      </c>
      <c r="C112" s="4" t="s">
        <v>126</v>
      </c>
      <c r="D112" s="4" t="str">
        <f>"20220020516"</f>
        <v>20220020516</v>
      </c>
      <c r="E112" s="4" t="str">
        <f t="shared" si="20"/>
        <v>05</v>
      </c>
      <c r="F112" s="4" t="str">
        <f>"16"</f>
        <v>16</v>
      </c>
      <c r="G112" s="5">
        <v>77.32</v>
      </c>
      <c r="H112" s="5" t="s">
        <v>14</v>
      </c>
      <c r="I112" s="5">
        <v>77.1</v>
      </c>
      <c r="J112" s="5" t="s">
        <v>14</v>
      </c>
      <c r="K112" s="7">
        <v>77.17</v>
      </c>
      <c r="L112" s="8">
        <v>18</v>
      </c>
      <c r="M112" s="9"/>
    </row>
    <row r="113" s="1" customFormat="1" ht="20.1" customHeight="1" spans="1:13">
      <c r="A113" s="4" t="str">
        <f>"37502022022611044418982"</f>
        <v>37502022022611044418982</v>
      </c>
      <c r="B113" s="4" t="s">
        <v>108</v>
      </c>
      <c r="C113" s="4" t="s">
        <v>127</v>
      </c>
      <c r="D113" s="4" t="str">
        <f>"20220020620"</f>
        <v>20220020620</v>
      </c>
      <c r="E113" s="4" t="str">
        <f t="shared" ref="E113:E116" si="21">"06"</f>
        <v>06</v>
      </c>
      <c r="F113" s="4" t="str">
        <f>"20"</f>
        <v>20</v>
      </c>
      <c r="G113" s="5">
        <v>81.55</v>
      </c>
      <c r="H113" s="5" t="s">
        <v>14</v>
      </c>
      <c r="I113" s="5">
        <v>75.2</v>
      </c>
      <c r="J113" s="5" t="s">
        <v>14</v>
      </c>
      <c r="K113" s="7">
        <v>77.11</v>
      </c>
      <c r="L113" s="8">
        <v>19</v>
      </c>
      <c r="M113" s="9"/>
    </row>
    <row r="114" s="1" customFormat="1" ht="20.1" customHeight="1" spans="1:13">
      <c r="A114" s="4" t="str">
        <f>"37502022022610430418947"</f>
        <v>37502022022610430418947</v>
      </c>
      <c r="B114" s="4" t="s">
        <v>108</v>
      </c>
      <c r="C114" s="4" t="s">
        <v>128</v>
      </c>
      <c r="D114" s="4" t="str">
        <f>"20220020622"</f>
        <v>20220020622</v>
      </c>
      <c r="E114" s="4" t="str">
        <f t="shared" si="21"/>
        <v>06</v>
      </c>
      <c r="F114" s="4" t="str">
        <f>"22"</f>
        <v>22</v>
      </c>
      <c r="G114" s="5">
        <v>76.98</v>
      </c>
      <c r="H114" s="5" t="s">
        <v>14</v>
      </c>
      <c r="I114" s="5">
        <v>76.6</v>
      </c>
      <c r="J114" s="5" t="s">
        <v>14</v>
      </c>
      <c r="K114" s="7">
        <v>76.71</v>
      </c>
      <c r="L114" s="8">
        <v>20</v>
      </c>
      <c r="M114" s="9"/>
    </row>
    <row r="115" s="1" customFormat="1" ht="20.1" customHeight="1" spans="1:13">
      <c r="A115" s="4" t="str">
        <f>"37502022022609422818776"</f>
        <v>37502022022609422818776</v>
      </c>
      <c r="B115" s="4" t="s">
        <v>108</v>
      </c>
      <c r="C115" s="4" t="s">
        <v>129</v>
      </c>
      <c r="D115" s="4" t="str">
        <f>"20220020405"</f>
        <v>20220020405</v>
      </c>
      <c r="E115" s="4" t="str">
        <f t="shared" ref="E115:E125" si="22">"04"</f>
        <v>04</v>
      </c>
      <c r="F115" s="4" t="str">
        <f>"05"</f>
        <v>05</v>
      </c>
      <c r="G115" s="5">
        <v>74.61</v>
      </c>
      <c r="H115" s="5" t="s">
        <v>14</v>
      </c>
      <c r="I115" s="5">
        <v>77</v>
      </c>
      <c r="J115" s="5" t="s">
        <v>14</v>
      </c>
      <c r="K115" s="7">
        <v>76.28</v>
      </c>
      <c r="L115" s="8">
        <v>21</v>
      </c>
      <c r="M115" s="9"/>
    </row>
    <row r="116" s="1" customFormat="1" ht="20.1" customHeight="1" spans="1:13">
      <c r="A116" s="4" t="str">
        <f>"37502022022717011320487"</f>
        <v>37502022022717011320487</v>
      </c>
      <c r="B116" s="4" t="s">
        <v>108</v>
      </c>
      <c r="C116" s="4" t="s">
        <v>130</v>
      </c>
      <c r="D116" s="4" t="str">
        <f>"20220020603"</f>
        <v>20220020603</v>
      </c>
      <c r="E116" s="4" t="str">
        <f t="shared" si="21"/>
        <v>06</v>
      </c>
      <c r="F116" s="4" t="str">
        <f>"03"</f>
        <v>03</v>
      </c>
      <c r="G116" s="5">
        <v>76.46</v>
      </c>
      <c r="H116" s="5" t="s">
        <v>14</v>
      </c>
      <c r="I116" s="5">
        <v>75.8</v>
      </c>
      <c r="J116" s="5" t="s">
        <v>14</v>
      </c>
      <c r="K116" s="7">
        <v>76</v>
      </c>
      <c r="L116" s="8">
        <v>22</v>
      </c>
      <c r="M116" s="9"/>
    </row>
    <row r="117" s="1" customFormat="1" ht="20.1" customHeight="1" spans="1:13">
      <c r="A117" s="4" t="str">
        <f>"37502022022810594821717"</f>
        <v>37502022022810594821717</v>
      </c>
      <c r="B117" s="4" t="s">
        <v>108</v>
      </c>
      <c r="C117" s="4" t="s">
        <v>131</v>
      </c>
      <c r="D117" s="4" t="str">
        <f>"20220020510"</f>
        <v>20220020510</v>
      </c>
      <c r="E117" s="4" t="str">
        <f>"05"</f>
        <v>05</v>
      </c>
      <c r="F117" s="4" t="str">
        <f>"10"</f>
        <v>10</v>
      </c>
      <c r="G117" s="5">
        <v>77.45</v>
      </c>
      <c r="H117" s="5" t="s">
        <v>14</v>
      </c>
      <c r="I117" s="5">
        <v>74.4</v>
      </c>
      <c r="J117" s="5" t="s">
        <v>14</v>
      </c>
      <c r="K117" s="7">
        <v>75.32</v>
      </c>
      <c r="L117" s="8">
        <v>23</v>
      </c>
      <c r="M117" s="9"/>
    </row>
    <row r="118" s="1" customFormat="1" ht="20.1" customHeight="1" spans="1:13">
      <c r="A118" s="4" t="str">
        <f>"37502022030113092023715"</f>
        <v>37502022030113092023715</v>
      </c>
      <c r="B118" s="4" t="s">
        <v>108</v>
      </c>
      <c r="C118" s="4" t="s">
        <v>132</v>
      </c>
      <c r="D118" s="4" t="str">
        <f>"20220020524"</f>
        <v>20220020524</v>
      </c>
      <c r="E118" s="4" t="str">
        <f>"05"</f>
        <v>05</v>
      </c>
      <c r="F118" s="4" t="str">
        <f>"24"</f>
        <v>24</v>
      </c>
      <c r="G118" s="5">
        <v>78.22</v>
      </c>
      <c r="H118" s="5" t="s">
        <v>14</v>
      </c>
      <c r="I118" s="5">
        <v>73.8</v>
      </c>
      <c r="J118" s="5" t="s">
        <v>14</v>
      </c>
      <c r="K118" s="7">
        <v>75.13</v>
      </c>
      <c r="L118" s="8">
        <v>24</v>
      </c>
      <c r="M118" s="9"/>
    </row>
    <row r="119" s="1" customFormat="1" ht="20.1" customHeight="1" spans="1:13">
      <c r="A119" s="4" t="str">
        <f>"37502022030108055223117"</f>
        <v>37502022030108055223117</v>
      </c>
      <c r="B119" s="4" t="s">
        <v>108</v>
      </c>
      <c r="C119" s="4" t="s">
        <v>133</v>
      </c>
      <c r="D119" s="4" t="str">
        <f>"20220020419"</f>
        <v>20220020419</v>
      </c>
      <c r="E119" s="4" t="str">
        <f t="shared" si="22"/>
        <v>04</v>
      </c>
      <c r="F119" s="4" t="str">
        <f>"19"</f>
        <v>19</v>
      </c>
      <c r="G119" s="5">
        <v>72.83</v>
      </c>
      <c r="H119" s="5" t="s">
        <v>14</v>
      </c>
      <c r="I119" s="5">
        <v>75.6</v>
      </c>
      <c r="J119" s="5" t="s">
        <v>14</v>
      </c>
      <c r="K119" s="7">
        <v>74.77</v>
      </c>
      <c r="L119" s="8">
        <v>25</v>
      </c>
      <c r="M119" s="9"/>
    </row>
    <row r="120" s="1" customFormat="1" ht="20.1" customHeight="1" spans="1:13">
      <c r="A120" s="4" t="str">
        <f>"37502022022816593922761"</f>
        <v>37502022022816593922761</v>
      </c>
      <c r="B120" s="4" t="s">
        <v>108</v>
      </c>
      <c r="C120" s="4" t="s">
        <v>134</v>
      </c>
      <c r="D120" s="4" t="str">
        <f>"20220020423"</f>
        <v>20220020423</v>
      </c>
      <c r="E120" s="4" t="str">
        <f t="shared" si="22"/>
        <v>04</v>
      </c>
      <c r="F120" s="4" t="str">
        <f>"23"</f>
        <v>23</v>
      </c>
      <c r="G120" s="5">
        <v>73.11</v>
      </c>
      <c r="H120" s="5" t="s">
        <v>14</v>
      </c>
      <c r="I120" s="5">
        <v>75</v>
      </c>
      <c r="J120" s="5" t="s">
        <v>14</v>
      </c>
      <c r="K120" s="7">
        <v>74.43</v>
      </c>
      <c r="L120" s="8">
        <v>26</v>
      </c>
      <c r="M120" s="9"/>
    </row>
    <row r="121" s="1" customFormat="1" ht="20.1" customHeight="1" spans="1:13">
      <c r="A121" s="4" t="str">
        <f>"37502022030117530824169"</f>
        <v>37502022030117530824169</v>
      </c>
      <c r="B121" s="4" t="s">
        <v>108</v>
      </c>
      <c r="C121" s="4" t="s">
        <v>135</v>
      </c>
      <c r="D121" s="4" t="str">
        <f>"20220020406"</f>
        <v>20220020406</v>
      </c>
      <c r="E121" s="4" t="str">
        <f t="shared" si="22"/>
        <v>04</v>
      </c>
      <c r="F121" s="4" t="str">
        <f>"06"</f>
        <v>06</v>
      </c>
      <c r="G121" s="5">
        <v>78.92</v>
      </c>
      <c r="H121" s="5" t="s">
        <v>14</v>
      </c>
      <c r="I121" s="5">
        <v>72.1</v>
      </c>
      <c r="J121" s="5" t="s">
        <v>14</v>
      </c>
      <c r="K121" s="7">
        <v>74.15</v>
      </c>
      <c r="L121" s="8">
        <v>27</v>
      </c>
      <c r="M121" s="9"/>
    </row>
    <row r="122" s="1" customFormat="1" ht="20.1" customHeight="1" spans="1:13">
      <c r="A122" s="4" t="str">
        <f>"37502022030120202424445"</f>
        <v>37502022030120202424445</v>
      </c>
      <c r="B122" s="4" t="s">
        <v>108</v>
      </c>
      <c r="C122" s="4" t="s">
        <v>136</v>
      </c>
      <c r="D122" s="4" t="str">
        <f>"20220020428"</f>
        <v>20220020428</v>
      </c>
      <c r="E122" s="4" t="str">
        <f t="shared" si="22"/>
        <v>04</v>
      </c>
      <c r="F122" s="4" t="str">
        <f>"28"</f>
        <v>28</v>
      </c>
      <c r="G122" s="5">
        <v>73.58</v>
      </c>
      <c r="H122" s="5" t="s">
        <v>14</v>
      </c>
      <c r="I122" s="5">
        <v>74.2</v>
      </c>
      <c r="J122" s="5" t="s">
        <v>14</v>
      </c>
      <c r="K122" s="7">
        <v>74.01</v>
      </c>
      <c r="L122" s="8">
        <v>28</v>
      </c>
      <c r="M122" s="9"/>
    </row>
    <row r="123" s="1" customFormat="1" ht="20.1" customHeight="1" spans="1:13">
      <c r="A123" s="4" t="str">
        <f>"37502022022713134020150"</f>
        <v>37502022022713134020150</v>
      </c>
      <c r="B123" s="4" t="s">
        <v>108</v>
      </c>
      <c r="C123" s="4" t="s">
        <v>137</v>
      </c>
      <c r="D123" s="4" t="str">
        <f>"20220020410"</f>
        <v>20220020410</v>
      </c>
      <c r="E123" s="4" t="str">
        <f t="shared" si="22"/>
        <v>04</v>
      </c>
      <c r="F123" s="4" t="str">
        <f>"10"</f>
        <v>10</v>
      </c>
      <c r="G123" s="5">
        <v>74.41</v>
      </c>
      <c r="H123" s="5" t="s">
        <v>14</v>
      </c>
      <c r="I123" s="5">
        <v>73</v>
      </c>
      <c r="J123" s="5" t="s">
        <v>14</v>
      </c>
      <c r="K123" s="7">
        <v>73.42</v>
      </c>
      <c r="L123" s="8">
        <v>29</v>
      </c>
      <c r="M123" s="9"/>
    </row>
    <row r="124" s="1" customFormat="1" ht="20.1" customHeight="1" spans="1:13">
      <c r="A124" s="4" t="str">
        <f>"37502022022821484623033"</f>
        <v>37502022022821484623033</v>
      </c>
      <c r="B124" s="4" t="s">
        <v>108</v>
      </c>
      <c r="C124" s="4" t="s">
        <v>138</v>
      </c>
      <c r="D124" s="4" t="str">
        <f>"20220020422"</f>
        <v>20220020422</v>
      </c>
      <c r="E124" s="4" t="str">
        <f t="shared" si="22"/>
        <v>04</v>
      </c>
      <c r="F124" s="4" t="str">
        <f>"22"</f>
        <v>22</v>
      </c>
      <c r="G124" s="5">
        <v>62.76</v>
      </c>
      <c r="H124" s="5" t="s">
        <v>14</v>
      </c>
      <c r="I124" s="5">
        <v>77.6</v>
      </c>
      <c r="J124" s="5" t="s">
        <v>14</v>
      </c>
      <c r="K124" s="7">
        <v>73.15</v>
      </c>
      <c r="L124" s="8">
        <v>30</v>
      </c>
      <c r="M124" s="9"/>
    </row>
    <row r="125" s="1" customFormat="1" ht="20.1" customHeight="1" spans="1:13">
      <c r="A125" s="4" t="str">
        <f>"37502022030113361923766"</f>
        <v>37502022030113361923766</v>
      </c>
      <c r="B125" s="4" t="s">
        <v>108</v>
      </c>
      <c r="C125" s="4" t="s">
        <v>139</v>
      </c>
      <c r="D125" s="4" t="str">
        <f>"20220020420"</f>
        <v>20220020420</v>
      </c>
      <c r="E125" s="4" t="str">
        <f t="shared" si="22"/>
        <v>04</v>
      </c>
      <c r="F125" s="4" t="str">
        <f>"20"</f>
        <v>20</v>
      </c>
      <c r="G125" s="5">
        <v>71.95</v>
      </c>
      <c r="H125" s="5" t="s">
        <v>14</v>
      </c>
      <c r="I125" s="5">
        <v>72.3</v>
      </c>
      <c r="J125" s="5" t="s">
        <v>14</v>
      </c>
      <c r="K125" s="7">
        <v>72.2</v>
      </c>
      <c r="L125" s="8">
        <v>31</v>
      </c>
      <c r="M125" s="9"/>
    </row>
    <row r="126" s="1" customFormat="1" ht="20.1" customHeight="1" spans="1:13">
      <c r="A126" s="4" t="str">
        <f>"37502022022609451018785"</f>
        <v>37502022022609451018785</v>
      </c>
      <c r="B126" s="4" t="s">
        <v>108</v>
      </c>
      <c r="C126" s="4" t="s">
        <v>140</v>
      </c>
      <c r="D126" s="4" t="str">
        <f>"20220020506"</f>
        <v>20220020506</v>
      </c>
      <c r="E126" s="4" t="str">
        <f t="shared" ref="E126:E131" si="23">"05"</f>
        <v>05</v>
      </c>
      <c r="F126" s="4" t="str">
        <f>"06"</f>
        <v>06</v>
      </c>
      <c r="G126" s="5">
        <v>67.14</v>
      </c>
      <c r="H126" s="5" t="s">
        <v>14</v>
      </c>
      <c r="I126" s="5">
        <v>74.2</v>
      </c>
      <c r="J126" s="5" t="s">
        <v>14</v>
      </c>
      <c r="K126" s="7">
        <v>72.08</v>
      </c>
      <c r="L126" s="8">
        <v>32</v>
      </c>
      <c r="M126" s="9"/>
    </row>
    <row r="127" s="1" customFormat="1" ht="20.1" customHeight="1" spans="1:13">
      <c r="A127" s="4" t="str">
        <f>"37502022022613461419174"</f>
        <v>37502022022613461419174</v>
      </c>
      <c r="B127" s="4" t="s">
        <v>108</v>
      </c>
      <c r="C127" s="4" t="s">
        <v>141</v>
      </c>
      <c r="D127" s="4" t="str">
        <f>"20220020418"</f>
        <v>20220020418</v>
      </c>
      <c r="E127" s="4" t="str">
        <f>"04"</f>
        <v>04</v>
      </c>
      <c r="F127" s="4" t="str">
        <f>"18"</f>
        <v>18</v>
      </c>
      <c r="G127" s="5">
        <v>76.2</v>
      </c>
      <c r="H127" s="5" t="s">
        <v>14</v>
      </c>
      <c r="I127" s="5">
        <v>69.3</v>
      </c>
      <c r="J127" s="5" t="s">
        <v>14</v>
      </c>
      <c r="K127" s="7">
        <v>71.37</v>
      </c>
      <c r="L127" s="8">
        <v>33</v>
      </c>
      <c r="M127" s="9"/>
    </row>
    <row r="128" s="1" customFormat="1" ht="20.1" customHeight="1" spans="1:13">
      <c r="A128" s="4" t="str">
        <f>"37502022022612265819087"</f>
        <v>37502022022612265819087</v>
      </c>
      <c r="B128" s="4" t="s">
        <v>108</v>
      </c>
      <c r="C128" s="4" t="s">
        <v>142</v>
      </c>
      <c r="D128" s="4" t="str">
        <f>"20220020411"</f>
        <v>20220020411</v>
      </c>
      <c r="E128" s="4" t="str">
        <f>"04"</f>
        <v>04</v>
      </c>
      <c r="F128" s="4" t="str">
        <f>"11"</f>
        <v>11</v>
      </c>
      <c r="G128" s="5">
        <v>69.56</v>
      </c>
      <c r="H128" s="5" t="s">
        <v>14</v>
      </c>
      <c r="I128" s="5">
        <v>71.6</v>
      </c>
      <c r="J128" s="5" t="s">
        <v>14</v>
      </c>
      <c r="K128" s="7">
        <v>70.99</v>
      </c>
      <c r="L128" s="8">
        <v>34</v>
      </c>
      <c r="M128" s="9"/>
    </row>
    <row r="129" s="1" customFormat="1" ht="20.1" customHeight="1" spans="1:13">
      <c r="A129" s="4" t="str">
        <f>"37502022030118455624268"</f>
        <v>37502022030118455624268</v>
      </c>
      <c r="B129" s="4" t="s">
        <v>108</v>
      </c>
      <c r="C129" s="4" t="s">
        <v>143</v>
      </c>
      <c r="D129" s="4" t="str">
        <f>"20220020612"</f>
        <v>20220020612</v>
      </c>
      <c r="E129" s="4" t="str">
        <f t="shared" ref="E129:E134" si="24">"06"</f>
        <v>06</v>
      </c>
      <c r="F129" s="4" t="str">
        <f>"12"</f>
        <v>12</v>
      </c>
      <c r="G129" s="5">
        <v>68.06</v>
      </c>
      <c r="H129" s="5" t="s">
        <v>14</v>
      </c>
      <c r="I129" s="5">
        <v>72.2</v>
      </c>
      <c r="J129" s="5" t="s">
        <v>14</v>
      </c>
      <c r="K129" s="7">
        <v>70.96</v>
      </c>
      <c r="L129" s="8">
        <v>35</v>
      </c>
      <c r="M129" s="9"/>
    </row>
    <row r="130" s="1" customFormat="1" ht="20.1" customHeight="1" spans="1:13">
      <c r="A130" s="4" t="str">
        <f>"37502022022620473619650"</f>
        <v>37502022022620473619650</v>
      </c>
      <c r="B130" s="4" t="s">
        <v>108</v>
      </c>
      <c r="C130" s="4" t="s">
        <v>144</v>
      </c>
      <c r="D130" s="4" t="str">
        <f>"20220020515"</f>
        <v>20220020515</v>
      </c>
      <c r="E130" s="4" t="str">
        <f t="shared" si="23"/>
        <v>05</v>
      </c>
      <c r="F130" s="4" t="str">
        <f>"15"</f>
        <v>15</v>
      </c>
      <c r="G130" s="5">
        <v>66.17</v>
      </c>
      <c r="H130" s="5" t="s">
        <v>14</v>
      </c>
      <c r="I130" s="5">
        <v>72.6</v>
      </c>
      <c r="J130" s="5" t="s">
        <v>14</v>
      </c>
      <c r="K130" s="7">
        <v>70.67</v>
      </c>
      <c r="L130" s="8">
        <v>36</v>
      </c>
      <c r="M130" s="9"/>
    </row>
    <row r="131" s="1" customFormat="1" ht="20.1" customHeight="1" spans="1:13">
      <c r="A131" s="4" t="str">
        <f>"37502022030207564924806"</f>
        <v>37502022030207564924806</v>
      </c>
      <c r="B131" s="4" t="s">
        <v>108</v>
      </c>
      <c r="C131" s="4" t="s">
        <v>145</v>
      </c>
      <c r="D131" s="4" t="str">
        <f>"20220020521"</f>
        <v>20220020521</v>
      </c>
      <c r="E131" s="4" t="str">
        <f t="shared" si="23"/>
        <v>05</v>
      </c>
      <c r="F131" s="4" t="str">
        <f>"21"</f>
        <v>21</v>
      </c>
      <c r="G131" s="5">
        <v>62.15</v>
      </c>
      <c r="H131" s="5" t="s">
        <v>14</v>
      </c>
      <c r="I131" s="5">
        <v>74.3</v>
      </c>
      <c r="J131" s="5" t="s">
        <v>14</v>
      </c>
      <c r="K131" s="7">
        <v>70.66</v>
      </c>
      <c r="L131" s="8">
        <v>37</v>
      </c>
      <c r="M131" s="9"/>
    </row>
    <row r="132" s="1" customFormat="1" ht="20.1" customHeight="1" spans="1:13">
      <c r="A132" s="4" t="str">
        <f>"37502022022814510722348"</f>
        <v>37502022022814510722348</v>
      </c>
      <c r="B132" s="4" t="s">
        <v>108</v>
      </c>
      <c r="C132" s="4" t="s">
        <v>146</v>
      </c>
      <c r="D132" s="4" t="str">
        <f>"20220020623"</f>
        <v>20220020623</v>
      </c>
      <c r="E132" s="4" t="str">
        <f t="shared" si="24"/>
        <v>06</v>
      </c>
      <c r="F132" s="4" t="str">
        <f>"23"</f>
        <v>23</v>
      </c>
      <c r="G132" s="5">
        <v>76.62</v>
      </c>
      <c r="H132" s="5" t="s">
        <v>14</v>
      </c>
      <c r="I132" s="5">
        <v>68</v>
      </c>
      <c r="J132" s="5" t="s">
        <v>14</v>
      </c>
      <c r="K132" s="7">
        <v>70.59</v>
      </c>
      <c r="L132" s="8">
        <v>38</v>
      </c>
      <c r="M132" s="9"/>
    </row>
    <row r="133" s="1" customFormat="1" ht="20.1" customHeight="1" spans="1:13">
      <c r="A133" s="4" t="str">
        <f>"37502022022608060218615"</f>
        <v>37502022022608060218615</v>
      </c>
      <c r="B133" s="4" t="s">
        <v>108</v>
      </c>
      <c r="C133" s="4" t="s">
        <v>147</v>
      </c>
      <c r="D133" s="4" t="str">
        <f>"20220020610"</f>
        <v>20220020610</v>
      </c>
      <c r="E133" s="4" t="str">
        <f t="shared" si="24"/>
        <v>06</v>
      </c>
      <c r="F133" s="4" t="str">
        <f>"10"</f>
        <v>10</v>
      </c>
      <c r="G133" s="5">
        <v>71.17</v>
      </c>
      <c r="H133" s="5" t="s">
        <v>14</v>
      </c>
      <c r="I133" s="5">
        <v>70.3</v>
      </c>
      <c r="J133" s="5" t="s">
        <v>14</v>
      </c>
      <c r="K133" s="7">
        <v>70.56</v>
      </c>
      <c r="L133" s="8">
        <v>39</v>
      </c>
      <c r="M133" s="9"/>
    </row>
    <row r="134" s="1" customFormat="1" ht="20.1" customHeight="1" spans="1:13">
      <c r="A134" s="4" t="str">
        <f>"37502022022614103019213"</f>
        <v>37502022022614103019213</v>
      </c>
      <c r="B134" s="4" t="s">
        <v>108</v>
      </c>
      <c r="C134" s="4" t="s">
        <v>148</v>
      </c>
      <c r="D134" s="4" t="str">
        <f>"20220020601"</f>
        <v>20220020601</v>
      </c>
      <c r="E134" s="4" t="str">
        <f t="shared" si="24"/>
        <v>06</v>
      </c>
      <c r="F134" s="4" t="str">
        <f>"01"</f>
        <v>01</v>
      </c>
      <c r="G134" s="5">
        <v>64.02</v>
      </c>
      <c r="H134" s="5" t="s">
        <v>14</v>
      </c>
      <c r="I134" s="5">
        <v>72</v>
      </c>
      <c r="J134" s="5" t="s">
        <v>14</v>
      </c>
      <c r="K134" s="7">
        <v>69.61</v>
      </c>
      <c r="L134" s="8">
        <v>40</v>
      </c>
      <c r="M134" s="9"/>
    </row>
    <row r="135" s="1" customFormat="1" ht="20.1" customHeight="1" spans="1:13">
      <c r="A135" s="4" t="str">
        <f>"37502022022815201722461"</f>
        <v>37502022022815201722461</v>
      </c>
      <c r="B135" s="4" t="s">
        <v>108</v>
      </c>
      <c r="C135" s="4" t="s">
        <v>149</v>
      </c>
      <c r="D135" s="4" t="str">
        <f>"20220020527"</f>
        <v>20220020527</v>
      </c>
      <c r="E135" s="4" t="str">
        <f>"05"</f>
        <v>05</v>
      </c>
      <c r="F135" s="4" t="str">
        <f>"27"</f>
        <v>27</v>
      </c>
      <c r="G135" s="5">
        <v>61.35</v>
      </c>
      <c r="H135" s="5" t="s">
        <v>14</v>
      </c>
      <c r="I135" s="5">
        <v>72.9</v>
      </c>
      <c r="J135" s="5" t="s">
        <v>14</v>
      </c>
      <c r="K135" s="7">
        <v>69.44</v>
      </c>
      <c r="L135" s="8">
        <v>41</v>
      </c>
      <c r="M135" s="9"/>
    </row>
    <row r="136" s="1" customFormat="1" ht="20.1" customHeight="1" spans="1:13">
      <c r="A136" s="4" t="str">
        <f>"37502022030211352925137"</f>
        <v>37502022030211352925137</v>
      </c>
      <c r="B136" s="4" t="s">
        <v>108</v>
      </c>
      <c r="C136" s="4" t="s">
        <v>150</v>
      </c>
      <c r="D136" s="4" t="str">
        <f>"20220020427"</f>
        <v>20220020427</v>
      </c>
      <c r="E136" s="4" t="str">
        <f>"04"</f>
        <v>04</v>
      </c>
      <c r="F136" s="4" t="str">
        <f>"27"</f>
        <v>27</v>
      </c>
      <c r="G136" s="5">
        <v>62.57</v>
      </c>
      <c r="H136" s="5" t="s">
        <v>14</v>
      </c>
      <c r="I136" s="5">
        <v>72.2</v>
      </c>
      <c r="J136" s="5" t="s">
        <v>14</v>
      </c>
      <c r="K136" s="7">
        <v>69.31</v>
      </c>
      <c r="L136" s="8">
        <v>42</v>
      </c>
      <c r="M136" s="9"/>
    </row>
    <row r="137" s="1" customFormat="1" ht="20.1" customHeight="1" spans="1:13">
      <c r="A137" s="4" t="str">
        <f>"37502022022808334621331"</f>
        <v>37502022022808334621331</v>
      </c>
      <c r="B137" s="4" t="s">
        <v>108</v>
      </c>
      <c r="C137" s="4" t="s">
        <v>151</v>
      </c>
      <c r="D137" s="4" t="str">
        <f>"20220020605"</f>
        <v>20220020605</v>
      </c>
      <c r="E137" s="4" t="str">
        <f t="shared" ref="E137:E140" si="25">"06"</f>
        <v>06</v>
      </c>
      <c r="F137" s="4" t="str">
        <f>"05"</f>
        <v>05</v>
      </c>
      <c r="G137" s="5">
        <v>66.83</v>
      </c>
      <c r="H137" s="5" t="s">
        <v>14</v>
      </c>
      <c r="I137" s="5">
        <v>69</v>
      </c>
      <c r="J137" s="5" t="s">
        <v>14</v>
      </c>
      <c r="K137" s="7">
        <v>68.35</v>
      </c>
      <c r="L137" s="8">
        <v>43</v>
      </c>
      <c r="M137" s="9"/>
    </row>
    <row r="138" s="1" customFormat="1" ht="20.1" customHeight="1" spans="1:13">
      <c r="A138" s="4" t="str">
        <f>"37502022022713231520159"</f>
        <v>37502022022713231520159</v>
      </c>
      <c r="B138" s="4" t="s">
        <v>108</v>
      </c>
      <c r="C138" s="4" t="s">
        <v>152</v>
      </c>
      <c r="D138" s="4" t="str">
        <f>"20220020609"</f>
        <v>20220020609</v>
      </c>
      <c r="E138" s="4" t="str">
        <f t="shared" si="25"/>
        <v>06</v>
      </c>
      <c r="F138" s="4" t="str">
        <f>"09"</f>
        <v>09</v>
      </c>
      <c r="G138" s="5">
        <v>66.76</v>
      </c>
      <c r="H138" s="5" t="s">
        <v>14</v>
      </c>
      <c r="I138" s="5">
        <v>68.6</v>
      </c>
      <c r="J138" s="5" t="s">
        <v>14</v>
      </c>
      <c r="K138" s="7">
        <v>68.05</v>
      </c>
      <c r="L138" s="8">
        <v>44</v>
      </c>
      <c r="M138" s="9"/>
    </row>
    <row r="139" s="1" customFormat="1" ht="20.1" customHeight="1" spans="1:13">
      <c r="A139" s="4" t="str">
        <f>"37502022030120505124512"</f>
        <v>37502022030120505124512</v>
      </c>
      <c r="B139" s="4" t="s">
        <v>108</v>
      </c>
      <c r="C139" s="4" t="s">
        <v>153</v>
      </c>
      <c r="D139" s="4" t="str">
        <f>"20220020530"</f>
        <v>20220020530</v>
      </c>
      <c r="E139" s="4" t="str">
        <f t="shared" ref="E139:E148" si="26">"05"</f>
        <v>05</v>
      </c>
      <c r="F139" s="4" t="str">
        <f>"30"</f>
        <v>30</v>
      </c>
      <c r="G139" s="5">
        <v>71.99</v>
      </c>
      <c r="H139" s="5" t="s">
        <v>14</v>
      </c>
      <c r="I139" s="5">
        <v>65</v>
      </c>
      <c r="J139" s="5" t="s">
        <v>14</v>
      </c>
      <c r="K139" s="7">
        <v>67.1</v>
      </c>
      <c r="L139" s="8">
        <v>45</v>
      </c>
      <c r="M139" s="9"/>
    </row>
    <row r="140" s="1" customFormat="1" ht="20.1" customHeight="1" spans="1:13">
      <c r="A140" s="4" t="str">
        <f>"37502022030108120923122"</f>
        <v>37502022030108120923122</v>
      </c>
      <c r="B140" s="4" t="s">
        <v>108</v>
      </c>
      <c r="C140" s="4" t="s">
        <v>154</v>
      </c>
      <c r="D140" s="4" t="str">
        <f>"20220020606"</f>
        <v>20220020606</v>
      </c>
      <c r="E140" s="4" t="str">
        <f t="shared" si="25"/>
        <v>06</v>
      </c>
      <c r="F140" s="4" t="str">
        <f>"06"</f>
        <v>06</v>
      </c>
      <c r="G140" s="5">
        <v>63.09</v>
      </c>
      <c r="H140" s="5" t="s">
        <v>14</v>
      </c>
      <c r="I140" s="5">
        <v>68.2</v>
      </c>
      <c r="J140" s="5" t="s">
        <v>14</v>
      </c>
      <c r="K140" s="7">
        <v>66.67</v>
      </c>
      <c r="L140" s="8">
        <v>46</v>
      </c>
      <c r="M140" s="9"/>
    </row>
    <row r="141" s="1" customFormat="1" ht="20.1" customHeight="1" spans="1:13">
      <c r="A141" s="4" t="str">
        <f>"37502022022612242619082"</f>
        <v>37502022022612242619082</v>
      </c>
      <c r="B141" s="4" t="s">
        <v>108</v>
      </c>
      <c r="C141" s="4" t="s">
        <v>155</v>
      </c>
      <c r="D141" s="4" t="str">
        <f>"20220020429"</f>
        <v>20220020429</v>
      </c>
      <c r="E141" s="4" t="str">
        <f>"04"</f>
        <v>04</v>
      </c>
      <c r="F141" s="4" t="str">
        <f>"29"</f>
        <v>29</v>
      </c>
      <c r="G141" s="5">
        <v>63.35</v>
      </c>
      <c r="H141" s="5" t="s">
        <v>14</v>
      </c>
      <c r="I141" s="5">
        <v>68</v>
      </c>
      <c r="J141" s="5" t="s">
        <v>14</v>
      </c>
      <c r="K141" s="7">
        <v>66.61</v>
      </c>
      <c r="L141" s="8">
        <v>47</v>
      </c>
      <c r="M141" s="9"/>
    </row>
    <row r="142" s="1" customFormat="1" ht="20.1" customHeight="1" spans="1:13">
      <c r="A142" s="4" t="str">
        <f>"37502022030212522625245"</f>
        <v>37502022030212522625245</v>
      </c>
      <c r="B142" s="4" t="s">
        <v>108</v>
      </c>
      <c r="C142" s="4" t="s">
        <v>156</v>
      </c>
      <c r="D142" s="4" t="str">
        <f>"20220020501"</f>
        <v>20220020501</v>
      </c>
      <c r="E142" s="4" t="str">
        <f t="shared" si="26"/>
        <v>05</v>
      </c>
      <c r="F142" s="4" t="str">
        <f>"01"</f>
        <v>01</v>
      </c>
      <c r="G142" s="5">
        <v>53.55</v>
      </c>
      <c r="H142" s="5" t="s">
        <v>14</v>
      </c>
      <c r="I142" s="5">
        <v>71.1</v>
      </c>
      <c r="J142" s="5" t="s">
        <v>14</v>
      </c>
      <c r="K142" s="7">
        <v>65.84</v>
      </c>
      <c r="L142" s="8">
        <v>48</v>
      </c>
      <c r="M142" s="9"/>
    </row>
    <row r="143" s="1" customFormat="1" ht="20.1" customHeight="1" spans="1:13">
      <c r="A143" s="4" t="str">
        <f>"37502022030120052824417"</f>
        <v>37502022030120052824417</v>
      </c>
      <c r="B143" s="4" t="s">
        <v>108</v>
      </c>
      <c r="C143" s="4" t="s">
        <v>157</v>
      </c>
      <c r="D143" s="4" t="str">
        <f>"20220020425"</f>
        <v>20220020425</v>
      </c>
      <c r="E143" s="4" t="str">
        <f>"04"</f>
        <v>04</v>
      </c>
      <c r="F143" s="4" t="str">
        <f>"25"</f>
        <v>25</v>
      </c>
      <c r="G143" s="5">
        <v>66.57</v>
      </c>
      <c r="H143" s="5" t="s">
        <v>14</v>
      </c>
      <c r="I143" s="5">
        <v>65.5</v>
      </c>
      <c r="J143" s="5" t="s">
        <v>14</v>
      </c>
      <c r="K143" s="7">
        <v>65.82</v>
      </c>
      <c r="L143" s="8">
        <v>49</v>
      </c>
      <c r="M143" s="9"/>
    </row>
    <row r="144" s="1" customFormat="1" ht="20.1" customHeight="1" spans="1:13">
      <c r="A144" s="4" t="str">
        <f>"37502022022615491119332"</f>
        <v>37502022022615491119332</v>
      </c>
      <c r="B144" s="4" t="s">
        <v>108</v>
      </c>
      <c r="C144" s="4" t="s">
        <v>158</v>
      </c>
      <c r="D144" s="4" t="str">
        <f>"20220020509"</f>
        <v>20220020509</v>
      </c>
      <c r="E144" s="4" t="str">
        <f t="shared" si="26"/>
        <v>05</v>
      </c>
      <c r="F144" s="4" t="str">
        <f>"09"</f>
        <v>09</v>
      </c>
      <c r="G144" s="5">
        <v>63.19</v>
      </c>
      <c r="H144" s="5" t="s">
        <v>14</v>
      </c>
      <c r="I144" s="5">
        <v>66.3</v>
      </c>
      <c r="J144" s="5" t="s">
        <v>14</v>
      </c>
      <c r="K144" s="7">
        <v>65.37</v>
      </c>
      <c r="L144" s="8">
        <v>50</v>
      </c>
      <c r="M144" s="9"/>
    </row>
    <row r="145" s="1" customFormat="1" ht="20.1" customHeight="1" spans="1:13">
      <c r="A145" s="4" t="str">
        <f>"37502022022813203122094"</f>
        <v>37502022022813203122094</v>
      </c>
      <c r="B145" s="4" t="s">
        <v>108</v>
      </c>
      <c r="C145" s="4" t="s">
        <v>159</v>
      </c>
      <c r="D145" s="4" t="str">
        <f>"20220020508"</f>
        <v>20220020508</v>
      </c>
      <c r="E145" s="4" t="str">
        <f t="shared" si="26"/>
        <v>05</v>
      </c>
      <c r="F145" s="4" t="str">
        <f>"08"</f>
        <v>08</v>
      </c>
      <c r="G145" s="5">
        <v>66.95</v>
      </c>
      <c r="H145" s="5" t="s">
        <v>14</v>
      </c>
      <c r="I145" s="5">
        <v>63.9</v>
      </c>
      <c r="J145" s="5" t="s">
        <v>14</v>
      </c>
      <c r="K145" s="7">
        <v>64.82</v>
      </c>
      <c r="L145" s="8">
        <v>51</v>
      </c>
      <c r="M145" s="9"/>
    </row>
    <row r="146" s="1" customFormat="1" ht="20.1" customHeight="1" spans="1:13">
      <c r="A146" s="4" t="str">
        <f>"37502022030121284524585"</f>
        <v>37502022030121284524585</v>
      </c>
      <c r="B146" s="4" t="s">
        <v>108</v>
      </c>
      <c r="C146" s="4" t="s">
        <v>160</v>
      </c>
      <c r="D146" s="4" t="str">
        <f>"20220020519"</f>
        <v>20220020519</v>
      </c>
      <c r="E146" s="4" t="str">
        <f t="shared" si="26"/>
        <v>05</v>
      </c>
      <c r="F146" s="4" t="str">
        <f>"19"</f>
        <v>19</v>
      </c>
      <c r="G146" s="5">
        <v>62.36</v>
      </c>
      <c r="H146" s="5" t="s">
        <v>14</v>
      </c>
      <c r="I146" s="5">
        <v>65.3</v>
      </c>
      <c r="J146" s="5" t="s">
        <v>14</v>
      </c>
      <c r="K146" s="7">
        <v>64.42</v>
      </c>
      <c r="L146" s="8">
        <v>52</v>
      </c>
      <c r="M146" s="9"/>
    </row>
    <row r="147" s="1" customFormat="1" ht="20.1" customHeight="1" spans="1:13">
      <c r="A147" s="4" t="str">
        <f>"37502022022719450420706"</f>
        <v>37502022022719450420706</v>
      </c>
      <c r="B147" s="4" t="s">
        <v>108</v>
      </c>
      <c r="C147" s="4" t="s">
        <v>161</v>
      </c>
      <c r="D147" s="4" t="str">
        <f>"20220020520"</f>
        <v>20220020520</v>
      </c>
      <c r="E147" s="4" t="str">
        <f t="shared" si="26"/>
        <v>05</v>
      </c>
      <c r="F147" s="4" t="str">
        <f>"20"</f>
        <v>20</v>
      </c>
      <c r="G147" s="5">
        <v>58.72</v>
      </c>
      <c r="H147" s="5" t="s">
        <v>14</v>
      </c>
      <c r="I147" s="5">
        <v>65.7</v>
      </c>
      <c r="J147" s="5" t="s">
        <v>14</v>
      </c>
      <c r="K147" s="7">
        <v>63.61</v>
      </c>
      <c r="L147" s="8">
        <v>53</v>
      </c>
      <c r="M147" s="9"/>
    </row>
    <row r="148" s="1" customFormat="1" ht="20.1" customHeight="1" spans="1:13">
      <c r="A148" s="4" t="str">
        <f>"37502022022821470323029"</f>
        <v>37502022022821470323029</v>
      </c>
      <c r="B148" s="4" t="s">
        <v>108</v>
      </c>
      <c r="C148" s="4" t="s">
        <v>162</v>
      </c>
      <c r="D148" s="4" t="str">
        <f>"20220020511"</f>
        <v>20220020511</v>
      </c>
      <c r="E148" s="4" t="str">
        <f t="shared" si="26"/>
        <v>05</v>
      </c>
      <c r="F148" s="4" t="str">
        <f>"11"</f>
        <v>11</v>
      </c>
      <c r="G148" s="5">
        <v>55.93</v>
      </c>
      <c r="H148" s="5" t="s">
        <v>14</v>
      </c>
      <c r="I148" s="5">
        <v>63.9</v>
      </c>
      <c r="J148" s="5" t="s">
        <v>14</v>
      </c>
      <c r="K148" s="7">
        <v>61.51</v>
      </c>
      <c r="L148" s="8">
        <v>54</v>
      </c>
      <c r="M148" s="9"/>
    </row>
    <row r="149" s="1" customFormat="1" ht="20.1" customHeight="1" spans="1:13">
      <c r="A149" s="4" t="str">
        <f>"37502022022613400019167"</f>
        <v>37502022022613400019167</v>
      </c>
      <c r="B149" s="4" t="s">
        <v>108</v>
      </c>
      <c r="C149" s="4" t="s">
        <v>163</v>
      </c>
      <c r="D149" s="4" t="str">
        <f>"20220020613"</f>
        <v>20220020613</v>
      </c>
      <c r="E149" s="4" t="str">
        <f t="shared" ref="E149:E153" si="27">"06"</f>
        <v>06</v>
      </c>
      <c r="F149" s="4" t="str">
        <f>"13"</f>
        <v>13</v>
      </c>
      <c r="G149" s="5">
        <v>62.09</v>
      </c>
      <c r="H149" s="5" t="s">
        <v>14</v>
      </c>
      <c r="I149" s="5">
        <v>60.7</v>
      </c>
      <c r="J149" s="5" t="s">
        <v>14</v>
      </c>
      <c r="K149" s="7">
        <v>61.12</v>
      </c>
      <c r="L149" s="8">
        <v>55</v>
      </c>
      <c r="M149" s="9"/>
    </row>
    <row r="150" s="1" customFormat="1" ht="20.1" customHeight="1" spans="1:13">
      <c r="A150" s="4" t="str">
        <f>"37502022022608584418667"</f>
        <v>37502022022608584418667</v>
      </c>
      <c r="B150" s="4" t="s">
        <v>108</v>
      </c>
      <c r="C150" s="4" t="s">
        <v>164</v>
      </c>
      <c r="D150" s="4" t="str">
        <f>"20220020502"</f>
        <v>20220020502</v>
      </c>
      <c r="E150" s="4" t="str">
        <f>"05"</f>
        <v>05</v>
      </c>
      <c r="F150" s="4" t="str">
        <f>"02"</f>
        <v>02</v>
      </c>
      <c r="G150" s="5">
        <v>0</v>
      </c>
      <c r="H150" s="5" t="s">
        <v>74</v>
      </c>
      <c r="I150" s="5">
        <v>0</v>
      </c>
      <c r="J150" s="5" t="s">
        <v>74</v>
      </c>
      <c r="K150" s="7">
        <v>0</v>
      </c>
      <c r="L150" s="8">
        <v>56</v>
      </c>
      <c r="M150" s="9"/>
    </row>
    <row r="151" s="1" customFormat="1" ht="20.1" customHeight="1" spans="1:13">
      <c r="A151" s="4" t="str">
        <f>"37502022022609415418773"</f>
        <v>37502022022609415418773</v>
      </c>
      <c r="B151" s="4" t="s">
        <v>108</v>
      </c>
      <c r="C151" s="4" t="s">
        <v>165</v>
      </c>
      <c r="D151" s="4" t="str">
        <f>"20220020412"</f>
        <v>20220020412</v>
      </c>
      <c r="E151" s="4" t="str">
        <f>"04"</f>
        <v>04</v>
      </c>
      <c r="F151" s="4" t="str">
        <f>"12"</f>
        <v>12</v>
      </c>
      <c r="G151" s="5">
        <v>0</v>
      </c>
      <c r="H151" s="5" t="s">
        <v>74</v>
      </c>
      <c r="I151" s="5">
        <v>0</v>
      </c>
      <c r="J151" s="5" t="s">
        <v>74</v>
      </c>
      <c r="K151" s="7">
        <v>0</v>
      </c>
      <c r="L151" s="8">
        <v>56</v>
      </c>
      <c r="M151" s="9"/>
    </row>
    <row r="152" s="1" customFormat="1" ht="20.1" customHeight="1" spans="1:13">
      <c r="A152" s="4" t="str">
        <f>"37502022022609424318779"</f>
        <v>37502022022609424318779</v>
      </c>
      <c r="B152" s="4" t="s">
        <v>108</v>
      </c>
      <c r="C152" s="4" t="s">
        <v>166</v>
      </c>
      <c r="D152" s="4" t="str">
        <f>"20220020619"</f>
        <v>20220020619</v>
      </c>
      <c r="E152" s="4" t="str">
        <f t="shared" si="27"/>
        <v>06</v>
      </c>
      <c r="F152" s="4" t="str">
        <f>"19"</f>
        <v>19</v>
      </c>
      <c r="G152" s="5">
        <v>0</v>
      </c>
      <c r="H152" s="5" t="s">
        <v>74</v>
      </c>
      <c r="I152" s="5">
        <v>0</v>
      </c>
      <c r="J152" s="5" t="s">
        <v>74</v>
      </c>
      <c r="K152" s="7">
        <v>0</v>
      </c>
      <c r="L152" s="8">
        <v>56</v>
      </c>
      <c r="M152" s="9"/>
    </row>
    <row r="153" s="1" customFormat="1" ht="20.1" customHeight="1" spans="1:13">
      <c r="A153" s="4" t="str">
        <f>"37502022022614443419258"</f>
        <v>37502022022614443419258</v>
      </c>
      <c r="B153" s="4" t="s">
        <v>108</v>
      </c>
      <c r="C153" s="4" t="s">
        <v>167</v>
      </c>
      <c r="D153" s="4" t="str">
        <f>"20220020616"</f>
        <v>20220020616</v>
      </c>
      <c r="E153" s="4" t="str">
        <f t="shared" si="27"/>
        <v>06</v>
      </c>
      <c r="F153" s="4" t="str">
        <f>"16"</f>
        <v>16</v>
      </c>
      <c r="G153" s="5">
        <v>0</v>
      </c>
      <c r="H153" s="5" t="s">
        <v>74</v>
      </c>
      <c r="I153" s="5">
        <v>0</v>
      </c>
      <c r="J153" s="5" t="s">
        <v>74</v>
      </c>
      <c r="K153" s="7">
        <v>0</v>
      </c>
      <c r="L153" s="8">
        <v>56</v>
      </c>
      <c r="M153" s="9"/>
    </row>
    <row r="154" s="1" customFormat="1" ht="20.1" customHeight="1" spans="1:13">
      <c r="A154" s="4" t="str">
        <f>"37502022022708222619866"</f>
        <v>37502022022708222619866</v>
      </c>
      <c r="B154" s="4" t="s">
        <v>108</v>
      </c>
      <c r="C154" s="4" t="s">
        <v>168</v>
      </c>
      <c r="D154" s="4" t="str">
        <f>"20220020528"</f>
        <v>20220020528</v>
      </c>
      <c r="E154" s="4" t="str">
        <f>"05"</f>
        <v>05</v>
      </c>
      <c r="F154" s="4" t="str">
        <f>"28"</f>
        <v>28</v>
      </c>
      <c r="G154" s="5">
        <v>0</v>
      </c>
      <c r="H154" s="5" t="s">
        <v>74</v>
      </c>
      <c r="I154" s="5">
        <v>0</v>
      </c>
      <c r="J154" s="5" t="s">
        <v>74</v>
      </c>
      <c r="K154" s="7">
        <v>0</v>
      </c>
      <c r="L154" s="8">
        <v>56</v>
      </c>
      <c r="M154" s="9"/>
    </row>
    <row r="155" s="1" customFormat="1" ht="20.1" customHeight="1" spans="1:13">
      <c r="A155" s="4" t="str">
        <f>"37502022022710413819965"</f>
        <v>37502022022710413819965</v>
      </c>
      <c r="B155" s="4" t="s">
        <v>108</v>
      </c>
      <c r="C155" s="4" t="s">
        <v>169</v>
      </c>
      <c r="D155" s="4" t="str">
        <f>"20220020615"</f>
        <v>20220020615</v>
      </c>
      <c r="E155" s="4" t="str">
        <f t="shared" ref="E155:E159" si="28">"06"</f>
        <v>06</v>
      </c>
      <c r="F155" s="4" t="str">
        <f>"15"</f>
        <v>15</v>
      </c>
      <c r="G155" s="5">
        <v>0</v>
      </c>
      <c r="H155" s="5" t="s">
        <v>74</v>
      </c>
      <c r="I155" s="5">
        <v>0</v>
      </c>
      <c r="J155" s="5" t="s">
        <v>74</v>
      </c>
      <c r="K155" s="7">
        <v>0</v>
      </c>
      <c r="L155" s="8">
        <v>56</v>
      </c>
      <c r="M155" s="9"/>
    </row>
    <row r="156" s="1" customFormat="1" ht="20.1" customHeight="1" spans="1:13">
      <c r="A156" s="4" t="str">
        <f>"37502022022719553920729"</f>
        <v>37502022022719553920729</v>
      </c>
      <c r="B156" s="4" t="s">
        <v>108</v>
      </c>
      <c r="C156" s="4" t="s">
        <v>170</v>
      </c>
      <c r="D156" s="4" t="str">
        <f>"20220020608"</f>
        <v>20220020608</v>
      </c>
      <c r="E156" s="4" t="str">
        <f t="shared" si="28"/>
        <v>06</v>
      </c>
      <c r="F156" s="4" t="str">
        <f>"08"</f>
        <v>08</v>
      </c>
      <c r="G156" s="5">
        <v>0</v>
      </c>
      <c r="H156" s="5" t="s">
        <v>74</v>
      </c>
      <c r="I156" s="5">
        <v>0</v>
      </c>
      <c r="J156" s="5" t="s">
        <v>74</v>
      </c>
      <c r="K156" s="7">
        <v>0</v>
      </c>
      <c r="L156" s="8">
        <v>56</v>
      </c>
      <c r="M156" s="9"/>
    </row>
    <row r="157" s="1" customFormat="1" ht="20.1" customHeight="1" spans="1:13">
      <c r="A157" s="4" t="str">
        <f>"37502022022722470921113"</f>
        <v>37502022022722470921113</v>
      </c>
      <c r="B157" s="4" t="s">
        <v>108</v>
      </c>
      <c r="C157" s="4" t="s">
        <v>171</v>
      </c>
      <c r="D157" s="4" t="str">
        <f>"20220020424"</f>
        <v>20220020424</v>
      </c>
      <c r="E157" s="4" t="str">
        <f t="shared" ref="E157:E162" si="29">"04"</f>
        <v>04</v>
      </c>
      <c r="F157" s="4" t="str">
        <f>"24"</f>
        <v>24</v>
      </c>
      <c r="G157" s="5">
        <v>0</v>
      </c>
      <c r="H157" s="5" t="s">
        <v>74</v>
      </c>
      <c r="I157" s="5">
        <v>0</v>
      </c>
      <c r="J157" s="5" t="s">
        <v>74</v>
      </c>
      <c r="K157" s="7">
        <v>0</v>
      </c>
      <c r="L157" s="8">
        <v>56</v>
      </c>
      <c r="M157" s="9"/>
    </row>
    <row r="158" s="1" customFormat="1" ht="20.1" customHeight="1" spans="1:13">
      <c r="A158" s="4" t="str">
        <f>"37502022022808054521291"</f>
        <v>37502022022808054521291</v>
      </c>
      <c r="B158" s="4" t="s">
        <v>108</v>
      </c>
      <c r="C158" s="4" t="s">
        <v>172</v>
      </c>
      <c r="D158" s="4" t="str">
        <f>"20220020607"</f>
        <v>20220020607</v>
      </c>
      <c r="E158" s="4" t="str">
        <f t="shared" si="28"/>
        <v>06</v>
      </c>
      <c r="F158" s="4" t="str">
        <f>"07"</f>
        <v>07</v>
      </c>
      <c r="G158" s="5">
        <v>0</v>
      </c>
      <c r="H158" s="5" t="s">
        <v>74</v>
      </c>
      <c r="I158" s="5">
        <v>0</v>
      </c>
      <c r="J158" s="5" t="s">
        <v>74</v>
      </c>
      <c r="K158" s="7">
        <v>0</v>
      </c>
      <c r="L158" s="8">
        <v>56</v>
      </c>
      <c r="M158" s="9"/>
    </row>
    <row r="159" s="1" customFormat="1" ht="20.1" customHeight="1" spans="1:13">
      <c r="A159" s="4" t="str">
        <f>"37502022022808423121349"</f>
        <v>37502022022808423121349</v>
      </c>
      <c r="B159" s="4" t="s">
        <v>108</v>
      </c>
      <c r="C159" s="4" t="s">
        <v>173</v>
      </c>
      <c r="D159" s="4" t="str">
        <f>"20220020621"</f>
        <v>20220020621</v>
      </c>
      <c r="E159" s="4" t="str">
        <f t="shared" si="28"/>
        <v>06</v>
      </c>
      <c r="F159" s="4" t="str">
        <f>"21"</f>
        <v>21</v>
      </c>
      <c r="G159" s="5">
        <v>0</v>
      </c>
      <c r="H159" s="5" t="s">
        <v>74</v>
      </c>
      <c r="I159" s="5">
        <v>0</v>
      </c>
      <c r="J159" s="5" t="s">
        <v>74</v>
      </c>
      <c r="K159" s="7">
        <v>0</v>
      </c>
      <c r="L159" s="8">
        <v>56</v>
      </c>
      <c r="M159" s="9"/>
    </row>
    <row r="160" s="1" customFormat="1" ht="20.1" customHeight="1" spans="1:13">
      <c r="A160" s="4" t="str">
        <f>"37502022022809184221423"</f>
        <v>37502022022809184221423</v>
      </c>
      <c r="B160" s="4" t="s">
        <v>108</v>
      </c>
      <c r="C160" s="4" t="s">
        <v>174</v>
      </c>
      <c r="D160" s="4" t="str">
        <f>"20220020421"</f>
        <v>20220020421</v>
      </c>
      <c r="E160" s="4" t="str">
        <f t="shared" si="29"/>
        <v>04</v>
      </c>
      <c r="F160" s="4" t="str">
        <f>"21"</f>
        <v>21</v>
      </c>
      <c r="G160" s="5">
        <v>0</v>
      </c>
      <c r="H160" s="5" t="s">
        <v>74</v>
      </c>
      <c r="I160" s="5">
        <v>0</v>
      </c>
      <c r="J160" s="5" t="s">
        <v>74</v>
      </c>
      <c r="K160" s="7">
        <v>0</v>
      </c>
      <c r="L160" s="8">
        <v>56</v>
      </c>
      <c r="M160" s="9"/>
    </row>
    <row r="161" s="1" customFormat="1" ht="20.1" customHeight="1" spans="1:13">
      <c r="A161" s="4" t="str">
        <f>"37502022022814204022247"</f>
        <v>37502022022814204022247</v>
      </c>
      <c r="B161" s="4" t="s">
        <v>108</v>
      </c>
      <c r="C161" s="4" t="s">
        <v>175</v>
      </c>
      <c r="D161" s="4" t="str">
        <f>"20220020503"</f>
        <v>20220020503</v>
      </c>
      <c r="E161" s="4" t="str">
        <f>"05"</f>
        <v>05</v>
      </c>
      <c r="F161" s="4" t="str">
        <f>"03"</f>
        <v>03</v>
      </c>
      <c r="G161" s="5">
        <v>0</v>
      </c>
      <c r="H161" s="5" t="s">
        <v>74</v>
      </c>
      <c r="I161" s="5">
        <v>0</v>
      </c>
      <c r="J161" s="5" t="s">
        <v>74</v>
      </c>
      <c r="K161" s="7">
        <v>0</v>
      </c>
      <c r="L161" s="8">
        <v>56</v>
      </c>
      <c r="M161" s="9"/>
    </row>
    <row r="162" s="1" customFormat="1" ht="20.1" customHeight="1" spans="1:13">
      <c r="A162" s="4" t="str">
        <f>"37502022022816454122734"</f>
        <v>37502022022816454122734</v>
      </c>
      <c r="B162" s="4" t="s">
        <v>108</v>
      </c>
      <c r="C162" s="4" t="s">
        <v>176</v>
      </c>
      <c r="D162" s="4" t="str">
        <f>"20220020413"</f>
        <v>20220020413</v>
      </c>
      <c r="E162" s="4" t="str">
        <f t="shared" si="29"/>
        <v>04</v>
      </c>
      <c r="F162" s="4" t="str">
        <f>"13"</f>
        <v>13</v>
      </c>
      <c r="G162" s="5">
        <v>0</v>
      </c>
      <c r="H162" s="5" t="s">
        <v>74</v>
      </c>
      <c r="I162" s="5">
        <v>0</v>
      </c>
      <c r="J162" s="5" t="s">
        <v>74</v>
      </c>
      <c r="K162" s="7">
        <v>0</v>
      </c>
      <c r="L162" s="8">
        <v>56</v>
      </c>
      <c r="M162" s="9"/>
    </row>
    <row r="163" s="1" customFormat="1" ht="20.1" customHeight="1" spans="1:13">
      <c r="A163" s="4" t="str">
        <f>"37502022022816471522736"</f>
        <v>37502022022816471522736</v>
      </c>
      <c r="B163" s="4" t="s">
        <v>108</v>
      </c>
      <c r="C163" s="4" t="s">
        <v>177</v>
      </c>
      <c r="D163" s="4" t="str">
        <f>"20220020526"</f>
        <v>20220020526</v>
      </c>
      <c r="E163" s="4" t="str">
        <f>"05"</f>
        <v>05</v>
      </c>
      <c r="F163" s="4" t="str">
        <f>"26"</f>
        <v>26</v>
      </c>
      <c r="G163" s="5">
        <v>0</v>
      </c>
      <c r="H163" s="5" t="s">
        <v>74</v>
      </c>
      <c r="I163" s="5">
        <v>0</v>
      </c>
      <c r="J163" s="5" t="s">
        <v>74</v>
      </c>
      <c r="K163" s="7">
        <v>0</v>
      </c>
      <c r="L163" s="8">
        <v>56</v>
      </c>
      <c r="M163" s="9"/>
    </row>
    <row r="164" s="1" customFormat="1" ht="20.1" customHeight="1" spans="1:13">
      <c r="A164" s="4" t="str">
        <f>"37502022022821330123011"</f>
        <v>37502022022821330123011</v>
      </c>
      <c r="B164" s="4" t="s">
        <v>108</v>
      </c>
      <c r="C164" s="4" t="s">
        <v>178</v>
      </c>
      <c r="D164" s="4" t="str">
        <f>"20220020624"</f>
        <v>20220020624</v>
      </c>
      <c r="E164" s="4" t="str">
        <f t="shared" ref="E164:E167" si="30">"06"</f>
        <v>06</v>
      </c>
      <c r="F164" s="4" t="str">
        <f>"24"</f>
        <v>24</v>
      </c>
      <c r="G164" s="5">
        <v>0</v>
      </c>
      <c r="H164" s="5" t="s">
        <v>74</v>
      </c>
      <c r="I164" s="5">
        <v>0</v>
      </c>
      <c r="J164" s="5" t="s">
        <v>74</v>
      </c>
      <c r="K164" s="7">
        <v>0</v>
      </c>
      <c r="L164" s="8">
        <v>56</v>
      </c>
      <c r="M164" s="9"/>
    </row>
    <row r="165" s="1" customFormat="1" ht="20.1" customHeight="1" spans="1:13">
      <c r="A165" s="4" t="str">
        <f>"37502022030108222423126"</f>
        <v>37502022030108222423126</v>
      </c>
      <c r="B165" s="4" t="s">
        <v>108</v>
      </c>
      <c r="C165" s="4" t="s">
        <v>179</v>
      </c>
      <c r="D165" s="4" t="str">
        <f>"20220020604"</f>
        <v>20220020604</v>
      </c>
      <c r="E165" s="4" t="str">
        <f t="shared" si="30"/>
        <v>06</v>
      </c>
      <c r="F165" s="4" t="str">
        <f>"04"</f>
        <v>04</v>
      </c>
      <c r="G165" s="5">
        <v>0</v>
      </c>
      <c r="H165" s="5" t="s">
        <v>74</v>
      </c>
      <c r="I165" s="5">
        <v>0</v>
      </c>
      <c r="J165" s="5" t="s">
        <v>74</v>
      </c>
      <c r="K165" s="7">
        <v>0</v>
      </c>
      <c r="L165" s="8">
        <v>56</v>
      </c>
      <c r="M165" s="9"/>
    </row>
    <row r="166" s="1" customFormat="1" ht="20.1" customHeight="1" spans="1:13">
      <c r="A166" s="4" t="str">
        <f>"37502022030110354523413"</f>
        <v>37502022030110354523413</v>
      </c>
      <c r="B166" s="4" t="s">
        <v>108</v>
      </c>
      <c r="C166" s="4" t="s">
        <v>180</v>
      </c>
      <c r="D166" s="4" t="str">
        <f>"20220020617"</f>
        <v>20220020617</v>
      </c>
      <c r="E166" s="4" t="str">
        <f t="shared" si="30"/>
        <v>06</v>
      </c>
      <c r="F166" s="4" t="str">
        <f>"17"</f>
        <v>17</v>
      </c>
      <c r="G166" s="5">
        <v>0</v>
      </c>
      <c r="H166" s="5" t="s">
        <v>74</v>
      </c>
      <c r="I166" s="5">
        <v>0</v>
      </c>
      <c r="J166" s="5" t="s">
        <v>74</v>
      </c>
      <c r="K166" s="7">
        <v>0</v>
      </c>
      <c r="L166" s="8">
        <v>56</v>
      </c>
      <c r="M166" s="9"/>
    </row>
    <row r="167" s="1" customFormat="1" ht="20.1" customHeight="1" spans="1:13">
      <c r="A167" s="4" t="str">
        <f>"37502022030111391923559"</f>
        <v>37502022030111391923559</v>
      </c>
      <c r="B167" s="4" t="s">
        <v>108</v>
      </c>
      <c r="C167" s="4" t="s">
        <v>181</v>
      </c>
      <c r="D167" s="4" t="str">
        <f>"20220020602"</f>
        <v>20220020602</v>
      </c>
      <c r="E167" s="4" t="str">
        <f t="shared" si="30"/>
        <v>06</v>
      </c>
      <c r="F167" s="4" t="str">
        <f>"02"</f>
        <v>02</v>
      </c>
      <c r="G167" s="5">
        <v>0</v>
      </c>
      <c r="H167" s="5" t="s">
        <v>74</v>
      </c>
      <c r="I167" s="5">
        <v>0</v>
      </c>
      <c r="J167" s="5" t="s">
        <v>74</v>
      </c>
      <c r="K167" s="7">
        <v>0</v>
      </c>
      <c r="L167" s="8">
        <v>56</v>
      </c>
      <c r="M167" s="9"/>
    </row>
    <row r="168" s="1" customFormat="1" ht="20.1" customHeight="1" spans="1:13">
      <c r="A168" s="4" t="str">
        <f>"37502022030120241424454"</f>
        <v>37502022030120241424454</v>
      </c>
      <c r="B168" s="4" t="s">
        <v>108</v>
      </c>
      <c r="C168" s="4" t="s">
        <v>182</v>
      </c>
      <c r="D168" s="4" t="str">
        <f>"20220020417"</f>
        <v>20220020417</v>
      </c>
      <c r="E168" s="4" t="str">
        <f t="shared" ref="E168:E174" si="31">"04"</f>
        <v>04</v>
      </c>
      <c r="F168" s="4" t="str">
        <f>"17"</f>
        <v>17</v>
      </c>
      <c r="G168" s="5">
        <v>0</v>
      </c>
      <c r="H168" s="5" t="s">
        <v>74</v>
      </c>
      <c r="I168" s="5">
        <v>0</v>
      </c>
      <c r="J168" s="5" t="s">
        <v>74</v>
      </c>
      <c r="K168" s="7">
        <v>0</v>
      </c>
      <c r="L168" s="8">
        <v>56</v>
      </c>
      <c r="M168" s="9"/>
    </row>
    <row r="169" s="1" customFormat="1" ht="20.1" customHeight="1" spans="1:13">
      <c r="A169" s="4" t="str">
        <f>"37502022030120301524463"</f>
        <v>37502022030120301524463</v>
      </c>
      <c r="B169" s="4" t="s">
        <v>108</v>
      </c>
      <c r="C169" s="4" t="s">
        <v>183</v>
      </c>
      <c r="D169" s="4" t="str">
        <f>"20220020513"</f>
        <v>20220020513</v>
      </c>
      <c r="E169" s="4" t="str">
        <f t="shared" ref="E169:E172" si="32">"05"</f>
        <v>05</v>
      </c>
      <c r="F169" s="4" t="str">
        <f>"13"</f>
        <v>13</v>
      </c>
      <c r="G169" s="5">
        <v>0</v>
      </c>
      <c r="H169" s="5" t="s">
        <v>74</v>
      </c>
      <c r="I169" s="5">
        <v>0</v>
      </c>
      <c r="J169" s="5" t="s">
        <v>74</v>
      </c>
      <c r="K169" s="7">
        <v>0</v>
      </c>
      <c r="L169" s="8">
        <v>56</v>
      </c>
      <c r="M169" s="9"/>
    </row>
    <row r="170" s="1" customFormat="1" ht="20.1" customHeight="1" spans="1:13">
      <c r="A170" s="4" t="str">
        <f>"37502022030122294624691"</f>
        <v>37502022030122294624691</v>
      </c>
      <c r="B170" s="4" t="s">
        <v>108</v>
      </c>
      <c r="C170" s="4" t="s">
        <v>184</v>
      </c>
      <c r="D170" s="4" t="str">
        <f>"20220020507"</f>
        <v>20220020507</v>
      </c>
      <c r="E170" s="4" t="str">
        <f t="shared" si="32"/>
        <v>05</v>
      </c>
      <c r="F170" s="4" t="str">
        <f>"07"</f>
        <v>07</v>
      </c>
      <c r="G170" s="5">
        <v>0</v>
      </c>
      <c r="H170" s="5" t="s">
        <v>74</v>
      </c>
      <c r="I170" s="5">
        <v>0</v>
      </c>
      <c r="J170" s="5" t="s">
        <v>74</v>
      </c>
      <c r="K170" s="7">
        <v>0</v>
      </c>
      <c r="L170" s="8">
        <v>56</v>
      </c>
      <c r="M170" s="9"/>
    </row>
    <row r="171" s="1" customFormat="1" ht="20.1" customHeight="1" spans="1:13">
      <c r="A171" s="4" t="str">
        <f>"37502022030123054524725"</f>
        <v>37502022030123054524725</v>
      </c>
      <c r="B171" s="4" t="s">
        <v>108</v>
      </c>
      <c r="C171" s="4" t="s">
        <v>185</v>
      </c>
      <c r="D171" s="4" t="str">
        <f>"20220020408"</f>
        <v>20220020408</v>
      </c>
      <c r="E171" s="4" t="str">
        <f t="shared" si="31"/>
        <v>04</v>
      </c>
      <c r="F171" s="4" t="str">
        <f>"08"</f>
        <v>08</v>
      </c>
      <c r="G171" s="5">
        <v>0</v>
      </c>
      <c r="H171" s="5" t="s">
        <v>74</v>
      </c>
      <c r="I171" s="5">
        <v>0</v>
      </c>
      <c r="J171" s="5" t="s">
        <v>74</v>
      </c>
      <c r="K171" s="7">
        <v>0</v>
      </c>
      <c r="L171" s="8">
        <v>56</v>
      </c>
      <c r="M171" s="9"/>
    </row>
    <row r="172" s="1" customFormat="1" ht="20.1" customHeight="1" spans="1:13">
      <c r="A172" s="4" t="str">
        <f>"37502022030210420425045"</f>
        <v>37502022030210420425045</v>
      </c>
      <c r="B172" s="4" t="s">
        <v>108</v>
      </c>
      <c r="C172" s="4" t="s">
        <v>186</v>
      </c>
      <c r="D172" s="4" t="str">
        <f>"20220020523"</f>
        <v>20220020523</v>
      </c>
      <c r="E172" s="4" t="str">
        <f t="shared" si="32"/>
        <v>05</v>
      </c>
      <c r="F172" s="4" t="str">
        <f>"23"</f>
        <v>23</v>
      </c>
      <c r="G172" s="5">
        <v>0</v>
      </c>
      <c r="H172" s="5" t="s">
        <v>74</v>
      </c>
      <c r="I172" s="5">
        <v>0</v>
      </c>
      <c r="J172" s="5" t="s">
        <v>74</v>
      </c>
      <c r="K172" s="7">
        <v>0</v>
      </c>
      <c r="L172" s="8">
        <v>56</v>
      </c>
      <c r="M172" s="9"/>
    </row>
    <row r="173" s="1" customFormat="1" ht="20.1" customHeight="1" spans="1:13">
      <c r="A173" s="4" t="str">
        <f>"37502022030212060425178"</f>
        <v>37502022030212060425178</v>
      </c>
      <c r="B173" s="4" t="s">
        <v>108</v>
      </c>
      <c r="C173" s="4" t="s">
        <v>187</v>
      </c>
      <c r="D173" s="4" t="str">
        <f>"20220020409"</f>
        <v>20220020409</v>
      </c>
      <c r="E173" s="4" t="str">
        <f t="shared" si="31"/>
        <v>04</v>
      </c>
      <c r="F173" s="4" t="str">
        <f>"09"</f>
        <v>09</v>
      </c>
      <c r="G173" s="5">
        <v>0</v>
      </c>
      <c r="H173" s="5" t="s">
        <v>74</v>
      </c>
      <c r="I173" s="5">
        <v>0</v>
      </c>
      <c r="J173" s="5" t="s">
        <v>74</v>
      </c>
      <c r="K173" s="7">
        <v>0</v>
      </c>
      <c r="L173" s="8">
        <v>56</v>
      </c>
      <c r="M173" s="9"/>
    </row>
    <row r="174" s="1" customFormat="1" ht="20.1" customHeight="1" spans="1:13">
      <c r="A174" s="4" t="str">
        <f>"37502022030214533825424"</f>
        <v>37502022030214533825424</v>
      </c>
      <c r="B174" s="4" t="s">
        <v>108</v>
      </c>
      <c r="C174" s="4" t="s">
        <v>188</v>
      </c>
      <c r="D174" s="4" t="str">
        <f>"20220020430"</f>
        <v>20220020430</v>
      </c>
      <c r="E174" s="4" t="str">
        <f t="shared" si="31"/>
        <v>04</v>
      </c>
      <c r="F174" s="4" t="str">
        <f>"30"</f>
        <v>30</v>
      </c>
      <c r="G174" s="5">
        <v>0</v>
      </c>
      <c r="H174" s="5" t="s">
        <v>74</v>
      </c>
      <c r="I174" s="5">
        <v>0</v>
      </c>
      <c r="J174" s="5" t="s">
        <v>74</v>
      </c>
      <c r="K174" s="7">
        <v>0</v>
      </c>
      <c r="L174" s="8">
        <v>56</v>
      </c>
      <c r="M174" s="9"/>
    </row>
    <row r="175" s="1" customFormat="1" ht="20.1" customHeight="1" spans="1:13">
      <c r="A175" s="4" t="str">
        <f>"37502022030218244025703"</f>
        <v>37502022030218244025703</v>
      </c>
      <c r="B175" s="4" t="s">
        <v>108</v>
      </c>
      <c r="C175" s="4" t="s">
        <v>189</v>
      </c>
      <c r="D175" s="4" t="str">
        <f>"20220020514"</f>
        <v>20220020514</v>
      </c>
      <c r="E175" s="4" t="str">
        <f>"05"</f>
        <v>05</v>
      </c>
      <c r="F175" s="4" t="str">
        <f>"14"</f>
        <v>14</v>
      </c>
      <c r="G175" s="5">
        <v>0</v>
      </c>
      <c r="H175" s="5" t="s">
        <v>74</v>
      </c>
      <c r="I175" s="5">
        <v>0</v>
      </c>
      <c r="J175" s="5" t="s">
        <v>74</v>
      </c>
      <c r="K175" s="7">
        <v>0</v>
      </c>
      <c r="L175" s="8">
        <v>56</v>
      </c>
      <c r="M175" s="9"/>
    </row>
    <row r="176" s="1" customFormat="1" ht="20.1" customHeight="1" spans="1:13">
      <c r="A176" s="4" t="str">
        <f>"37502022030218560125755"</f>
        <v>37502022030218560125755</v>
      </c>
      <c r="B176" s="4" t="s">
        <v>108</v>
      </c>
      <c r="C176" s="4" t="s">
        <v>190</v>
      </c>
      <c r="D176" s="4" t="str">
        <f>"20220020518"</f>
        <v>20220020518</v>
      </c>
      <c r="E176" s="4" t="str">
        <f>"05"</f>
        <v>05</v>
      </c>
      <c r="F176" s="4" t="str">
        <f>"18"</f>
        <v>18</v>
      </c>
      <c r="G176" s="5">
        <v>0</v>
      </c>
      <c r="H176" s="5" t="s">
        <v>74</v>
      </c>
      <c r="I176" s="5">
        <v>0</v>
      </c>
      <c r="J176" s="5" t="s">
        <v>74</v>
      </c>
      <c r="K176" s="7">
        <v>0</v>
      </c>
      <c r="L176" s="8">
        <v>56</v>
      </c>
      <c r="M176" s="9"/>
    </row>
    <row r="177" s="1" customFormat="1" ht="20.1" customHeight="1" spans="1:13">
      <c r="A177" s="4" t="str">
        <f>"37502022030120432724496"</f>
        <v>37502022030120432724496</v>
      </c>
      <c r="B177" s="4" t="s">
        <v>191</v>
      </c>
      <c r="C177" s="4" t="s">
        <v>192</v>
      </c>
      <c r="D177" s="4" t="str">
        <f>"20220030711"</f>
        <v>20220030711</v>
      </c>
      <c r="E177" s="4" t="str">
        <f t="shared" ref="E177:E182" si="33">"07"</f>
        <v>07</v>
      </c>
      <c r="F177" s="4" t="str">
        <f>"11"</f>
        <v>11</v>
      </c>
      <c r="G177" s="5">
        <v>78.93</v>
      </c>
      <c r="H177" s="5" t="s">
        <v>14</v>
      </c>
      <c r="I177" s="5">
        <v>89.5</v>
      </c>
      <c r="J177" s="5" t="s">
        <v>14</v>
      </c>
      <c r="K177" s="7">
        <v>86.33</v>
      </c>
      <c r="L177" s="8">
        <v>1</v>
      </c>
      <c r="M177" s="9"/>
    </row>
    <row r="178" s="1" customFormat="1" ht="20.1" customHeight="1" spans="1:13">
      <c r="A178" s="4" t="str">
        <f>"37502022022820484722968"</f>
        <v>37502022022820484722968</v>
      </c>
      <c r="B178" s="4" t="s">
        <v>191</v>
      </c>
      <c r="C178" s="4" t="s">
        <v>193</v>
      </c>
      <c r="D178" s="4" t="str">
        <f>"20220030818"</f>
        <v>20220030818</v>
      </c>
      <c r="E178" s="4" t="str">
        <f>"08"</f>
        <v>08</v>
      </c>
      <c r="F178" s="4" t="str">
        <f>"18"</f>
        <v>18</v>
      </c>
      <c r="G178" s="5">
        <v>82.22</v>
      </c>
      <c r="H178" s="5" t="s">
        <v>14</v>
      </c>
      <c r="I178" s="5">
        <v>83.8</v>
      </c>
      <c r="J178" s="5" t="s">
        <v>14</v>
      </c>
      <c r="K178" s="7">
        <v>83.33</v>
      </c>
      <c r="L178" s="8">
        <v>2</v>
      </c>
      <c r="M178" s="9"/>
    </row>
    <row r="179" s="1" customFormat="1" ht="20.1" customHeight="1" spans="1:13">
      <c r="A179" s="4" t="str">
        <f>"37502022022610130318867"</f>
        <v>37502022022610130318867</v>
      </c>
      <c r="B179" s="4" t="s">
        <v>191</v>
      </c>
      <c r="C179" s="4" t="s">
        <v>194</v>
      </c>
      <c r="D179" s="4" t="str">
        <f>"20220030714"</f>
        <v>20220030714</v>
      </c>
      <c r="E179" s="4" t="str">
        <f t="shared" si="33"/>
        <v>07</v>
      </c>
      <c r="F179" s="4" t="str">
        <f>"14"</f>
        <v>14</v>
      </c>
      <c r="G179" s="5">
        <v>85.26</v>
      </c>
      <c r="H179" s="5" t="s">
        <v>14</v>
      </c>
      <c r="I179" s="5">
        <v>78.8</v>
      </c>
      <c r="J179" s="5" t="s">
        <v>14</v>
      </c>
      <c r="K179" s="7">
        <v>80.74</v>
      </c>
      <c r="L179" s="8">
        <v>3</v>
      </c>
      <c r="M179" s="9"/>
    </row>
    <row r="180" s="1" customFormat="1" ht="20.1" customHeight="1" spans="1:13">
      <c r="A180" s="4" t="str">
        <f>"37502022022809250521439"</f>
        <v>37502022022809250521439</v>
      </c>
      <c r="B180" s="4" t="s">
        <v>191</v>
      </c>
      <c r="C180" s="4" t="s">
        <v>195</v>
      </c>
      <c r="D180" s="4" t="str">
        <f>"20220030903"</f>
        <v>20220030903</v>
      </c>
      <c r="E180" s="4" t="str">
        <f>"09"</f>
        <v>09</v>
      </c>
      <c r="F180" s="4" t="str">
        <f>"03"</f>
        <v>03</v>
      </c>
      <c r="G180" s="5">
        <v>72.28</v>
      </c>
      <c r="H180" s="5" t="s">
        <v>14</v>
      </c>
      <c r="I180" s="5">
        <v>84.1</v>
      </c>
      <c r="J180" s="5" t="s">
        <v>14</v>
      </c>
      <c r="K180" s="7">
        <v>80.55</v>
      </c>
      <c r="L180" s="8">
        <v>4</v>
      </c>
      <c r="M180" s="9"/>
    </row>
    <row r="181" s="1" customFormat="1" ht="20.1" customHeight="1" spans="1:13">
      <c r="A181" s="4" t="str">
        <f>"37502022022610123418864"</f>
        <v>37502022022610123418864</v>
      </c>
      <c r="B181" s="4" t="s">
        <v>191</v>
      </c>
      <c r="C181" s="4" t="s">
        <v>196</v>
      </c>
      <c r="D181" s="4" t="str">
        <f>"20220030715"</f>
        <v>20220030715</v>
      </c>
      <c r="E181" s="4" t="str">
        <f t="shared" si="33"/>
        <v>07</v>
      </c>
      <c r="F181" s="4" t="str">
        <f>"15"</f>
        <v>15</v>
      </c>
      <c r="G181" s="5">
        <v>80.75</v>
      </c>
      <c r="H181" s="5" t="s">
        <v>14</v>
      </c>
      <c r="I181" s="5">
        <v>79.4</v>
      </c>
      <c r="J181" s="5" t="s">
        <v>14</v>
      </c>
      <c r="K181" s="7">
        <v>79.81</v>
      </c>
      <c r="L181" s="8">
        <v>5</v>
      </c>
      <c r="M181" s="9"/>
    </row>
    <row r="182" s="1" customFormat="1" ht="20.1" customHeight="1" spans="1:13">
      <c r="A182" s="4" t="str">
        <f>"37502022022817345022799"</f>
        <v>37502022022817345022799</v>
      </c>
      <c r="B182" s="4" t="s">
        <v>191</v>
      </c>
      <c r="C182" s="4" t="s">
        <v>197</v>
      </c>
      <c r="D182" s="4" t="str">
        <f>"20220030718"</f>
        <v>20220030718</v>
      </c>
      <c r="E182" s="4" t="str">
        <f t="shared" si="33"/>
        <v>07</v>
      </c>
      <c r="F182" s="4" t="str">
        <f>"18"</f>
        <v>18</v>
      </c>
      <c r="G182" s="5">
        <v>73.09</v>
      </c>
      <c r="H182" s="5" t="s">
        <v>14</v>
      </c>
      <c r="I182" s="5">
        <v>82.3</v>
      </c>
      <c r="J182" s="5" t="s">
        <v>14</v>
      </c>
      <c r="K182" s="7">
        <v>79.54</v>
      </c>
      <c r="L182" s="8">
        <v>6</v>
      </c>
      <c r="M182" s="9"/>
    </row>
    <row r="183" s="1" customFormat="1" ht="20.1" customHeight="1" spans="1:13">
      <c r="A183" s="4" t="str">
        <f>"37502022022608575118666"</f>
        <v>37502022022608575118666</v>
      </c>
      <c r="B183" s="4" t="s">
        <v>191</v>
      </c>
      <c r="C183" s="4" t="s">
        <v>198</v>
      </c>
      <c r="D183" s="4" t="str">
        <f>"20220030825"</f>
        <v>20220030825</v>
      </c>
      <c r="E183" s="4" t="str">
        <f t="shared" ref="E183:E185" si="34">"08"</f>
        <v>08</v>
      </c>
      <c r="F183" s="4" t="str">
        <f>"25"</f>
        <v>25</v>
      </c>
      <c r="G183" s="5">
        <v>70.77</v>
      </c>
      <c r="H183" s="5" t="s">
        <v>14</v>
      </c>
      <c r="I183" s="5">
        <v>82.6</v>
      </c>
      <c r="J183" s="5" t="s">
        <v>14</v>
      </c>
      <c r="K183" s="7">
        <v>79.05</v>
      </c>
      <c r="L183" s="8">
        <v>7</v>
      </c>
      <c r="M183" s="9"/>
    </row>
    <row r="184" s="1" customFormat="1" ht="20.1" customHeight="1" spans="1:13">
      <c r="A184" s="4" t="str">
        <f>"37502022022610160118880"</f>
        <v>37502022022610160118880</v>
      </c>
      <c r="B184" s="4" t="s">
        <v>191</v>
      </c>
      <c r="C184" s="4" t="s">
        <v>199</v>
      </c>
      <c r="D184" s="4" t="str">
        <f>"20220030826"</f>
        <v>20220030826</v>
      </c>
      <c r="E184" s="4" t="str">
        <f t="shared" si="34"/>
        <v>08</v>
      </c>
      <c r="F184" s="4" t="str">
        <f>"26"</f>
        <v>26</v>
      </c>
      <c r="G184" s="5">
        <v>80.61</v>
      </c>
      <c r="H184" s="5" t="s">
        <v>14</v>
      </c>
      <c r="I184" s="5">
        <v>78.3</v>
      </c>
      <c r="J184" s="5" t="s">
        <v>14</v>
      </c>
      <c r="K184" s="7">
        <v>78.99</v>
      </c>
      <c r="L184" s="8">
        <v>8</v>
      </c>
      <c r="M184" s="9"/>
    </row>
    <row r="185" s="1" customFormat="1" ht="20.1" customHeight="1" spans="1:13">
      <c r="A185" s="4" t="str">
        <f>"37502022022711123020003"</f>
        <v>37502022022711123020003</v>
      </c>
      <c r="B185" s="4" t="s">
        <v>191</v>
      </c>
      <c r="C185" s="4" t="s">
        <v>200</v>
      </c>
      <c r="D185" s="4" t="str">
        <f>"20220030807"</f>
        <v>20220030807</v>
      </c>
      <c r="E185" s="4" t="str">
        <f t="shared" si="34"/>
        <v>08</v>
      </c>
      <c r="F185" s="4" t="str">
        <f>"07"</f>
        <v>07</v>
      </c>
      <c r="G185" s="5">
        <v>77.6</v>
      </c>
      <c r="H185" s="5" t="s">
        <v>14</v>
      </c>
      <c r="I185" s="5">
        <v>79.4</v>
      </c>
      <c r="J185" s="5" t="s">
        <v>14</v>
      </c>
      <c r="K185" s="7">
        <v>78.86</v>
      </c>
      <c r="L185" s="8">
        <v>9</v>
      </c>
      <c r="M185" s="9"/>
    </row>
    <row r="186" s="1" customFormat="1" ht="20.1" customHeight="1" spans="1:13">
      <c r="A186" s="4" t="str">
        <f>"37502022022820173622944"</f>
        <v>37502022022820173622944</v>
      </c>
      <c r="B186" s="4" t="s">
        <v>191</v>
      </c>
      <c r="C186" s="4" t="s">
        <v>201</v>
      </c>
      <c r="D186" s="4" t="str">
        <f>"20220030702"</f>
        <v>20220030702</v>
      </c>
      <c r="E186" s="4" t="str">
        <f t="shared" ref="E186:E188" si="35">"07"</f>
        <v>07</v>
      </c>
      <c r="F186" s="4" t="str">
        <f>"02"</f>
        <v>02</v>
      </c>
      <c r="G186" s="5">
        <v>75.12</v>
      </c>
      <c r="H186" s="5" t="s">
        <v>14</v>
      </c>
      <c r="I186" s="5">
        <v>80.2</v>
      </c>
      <c r="J186" s="5" t="s">
        <v>14</v>
      </c>
      <c r="K186" s="7">
        <v>78.68</v>
      </c>
      <c r="L186" s="8">
        <v>10</v>
      </c>
      <c r="M186" s="9"/>
    </row>
    <row r="187" s="1" customFormat="1" ht="20.1" customHeight="1" spans="1:13">
      <c r="A187" s="4" t="str">
        <f>"37502022022610133918872"</f>
        <v>37502022022610133918872</v>
      </c>
      <c r="B187" s="4" t="s">
        <v>191</v>
      </c>
      <c r="C187" s="4" t="s">
        <v>202</v>
      </c>
      <c r="D187" s="4" t="str">
        <f>"20220030727"</f>
        <v>20220030727</v>
      </c>
      <c r="E187" s="4" t="str">
        <f t="shared" si="35"/>
        <v>07</v>
      </c>
      <c r="F187" s="4" t="str">
        <f>"27"</f>
        <v>27</v>
      </c>
      <c r="G187" s="5">
        <v>82.03</v>
      </c>
      <c r="H187" s="5" t="s">
        <v>14</v>
      </c>
      <c r="I187" s="5">
        <v>76.6</v>
      </c>
      <c r="J187" s="5" t="s">
        <v>14</v>
      </c>
      <c r="K187" s="7">
        <v>78.23</v>
      </c>
      <c r="L187" s="8">
        <v>11</v>
      </c>
      <c r="M187" s="9"/>
    </row>
    <row r="188" s="1" customFormat="1" ht="20.1" customHeight="1" spans="1:13">
      <c r="A188" s="4" t="str">
        <f>"37502022022817164322779"</f>
        <v>37502022022817164322779</v>
      </c>
      <c r="B188" s="4" t="s">
        <v>191</v>
      </c>
      <c r="C188" s="4" t="s">
        <v>203</v>
      </c>
      <c r="D188" s="4" t="str">
        <f>"20220030723"</f>
        <v>20220030723</v>
      </c>
      <c r="E188" s="4" t="str">
        <f t="shared" si="35"/>
        <v>07</v>
      </c>
      <c r="F188" s="4" t="str">
        <f>"23"</f>
        <v>23</v>
      </c>
      <c r="G188" s="5">
        <v>71.27</v>
      </c>
      <c r="H188" s="5" t="s">
        <v>14</v>
      </c>
      <c r="I188" s="5">
        <v>80.5</v>
      </c>
      <c r="J188" s="5" t="s">
        <v>14</v>
      </c>
      <c r="K188" s="7">
        <v>77.73</v>
      </c>
      <c r="L188" s="8">
        <v>12</v>
      </c>
      <c r="M188" s="9"/>
    </row>
    <row r="189" s="1" customFormat="1" ht="20.1" customHeight="1" spans="1:13">
      <c r="A189" s="4" t="str">
        <f>"37502022022713113020148"</f>
        <v>37502022022713113020148</v>
      </c>
      <c r="B189" s="4" t="s">
        <v>191</v>
      </c>
      <c r="C189" s="4" t="s">
        <v>204</v>
      </c>
      <c r="D189" s="4" t="str">
        <f>"20220030628"</f>
        <v>20220030628</v>
      </c>
      <c r="E189" s="4" t="str">
        <f>"06"</f>
        <v>06</v>
      </c>
      <c r="F189" s="4" t="str">
        <f>"28"</f>
        <v>28</v>
      </c>
      <c r="G189" s="5">
        <v>68.39</v>
      </c>
      <c r="H189" s="5" t="s">
        <v>14</v>
      </c>
      <c r="I189" s="5">
        <v>81.7</v>
      </c>
      <c r="J189" s="5" t="s">
        <v>14</v>
      </c>
      <c r="K189" s="7">
        <v>77.71</v>
      </c>
      <c r="L189" s="8">
        <v>13</v>
      </c>
      <c r="M189" s="9"/>
    </row>
    <row r="190" s="1" customFormat="1" ht="20.1" customHeight="1" spans="1:13">
      <c r="A190" s="4" t="str">
        <f>"37502022022817233422788"</f>
        <v>37502022022817233422788</v>
      </c>
      <c r="B190" s="4" t="s">
        <v>191</v>
      </c>
      <c r="C190" s="4" t="s">
        <v>205</v>
      </c>
      <c r="D190" s="4" t="str">
        <f>"20220030830"</f>
        <v>20220030830</v>
      </c>
      <c r="E190" s="4" t="str">
        <f t="shared" ref="E190:E196" si="36">"08"</f>
        <v>08</v>
      </c>
      <c r="F190" s="4" t="str">
        <f>"30"</f>
        <v>30</v>
      </c>
      <c r="G190" s="5">
        <v>68.92</v>
      </c>
      <c r="H190" s="5" t="s">
        <v>14</v>
      </c>
      <c r="I190" s="5">
        <v>80.7</v>
      </c>
      <c r="J190" s="5" t="s">
        <v>14</v>
      </c>
      <c r="K190" s="7">
        <v>77.17</v>
      </c>
      <c r="L190" s="8">
        <v>14</v>
      </c>
      <c r="M190" s="9"/>
    </row>
    <row r="191" s="1" customFormat="1" ht="20.1" customHeight="1" spans="1:13">
      <c r="A191" s="4" t="str">
        <f>"37502022022814405022307"</f>
        <v>37502022022814405022307</v>
      </c>
      <c r="B191" s="4" t="s">
        <v>191</v>
      </c>
      <c r="C191" s="4" t="s">
        <v>206</v>
      </c>
      <c r="D191" s="4" t="str">
        <f>"20220030730"</f>
        <v>20220030730</v>
      </c>
      <c r="E191" s="4" t="str">
        <f>"07"</f>
        <v>07</v>
      </c>
      <c r="F191" s="4" t="str">
        <f>"30"</f>
        <v>30</v>
      </c>
      <c r="G191" s="5">
        <v>73.11</v>
      </c>
      <c r="H191" s="5" t="s">
        <v>14</v>
      </c>
      <c r="I191" s="5">
        <v>78.3</v>
      </c>
      <c r="J191" s="5" t="s">
        <v>14</v>
      </c>
      <c r="K191" s="7">
        <v>76.74</v>
      </c>
      <c r="L191" s="8">
        <v>15</v>
      </c>
      <c r="M191" s="9"/>
    </row>
    <row r="192" s="1" customFormat="1" ht="20.1" customHeight="1" spans="1:13">
      <c r="A192" s="4" t="str">
        <f>"37502022022816054522609"</f>
        <v>37502022022816054522609</v>
      </c>
      <c r="B192" s="4" t="s">
        <v>191</v>
      </c>
      <c r="C192" s="4" t="s">
        <v>207</v>
      </c>
      <c r="D192" s="4" t="str">
        <f>"20220030820"</f>
        <v>20220030820</v>
      </c>
      <c r="E192" s="4" t="str">
        <f t="shared" si="36"/>
        <v>08</v>
      </c>
      <c r="F192" s="4" t="str">
        <f>"20"</f>
        <v>20</v>
      </c>
      <c r="G192" s="5">
        <v>77.96</v>
      </c>
      <c r="H192" s="5" t="s">
        <v>14</v>
      </c>
      <c r="I192" s="5">
        <v>75.6</v>
      </c>
      <c r="J192" s="5" t="s">
        <v>14</v>
      </c>
      <c r="K192" s="7">
        <v>76.31</v>
      </c>
      <c r="L192" s="8">
        <v>16</v>
      </c>
      <c r="M192" s="9"/>
    </row>
    <row r="193" s="1" customFormat="1" ht="20.1" customHeight="1" spans="1:13">
      <c r="A193" s="4" t="str">
        <f>"37502022022609332018730"</f>
        <v>37502022022609332018730</v>
      </c>
      <c r="B193" s="4" t="s">
        <v>191</v>
      </c>
      <c r="C193" s="4" t="s">
        <v>208</v>
      </c>
      <c r="D193" s="4" t="str">
        <f>"20220030709"</f>
        <v>20220030709</v>
      </c>
      <c r="E193" s="4" t="str">
        <f>"07"</f>
        <v>07</v>
      </c>
      <c r="F193" s="4" t="str">
        <f>"09"</f>
        <v>09</v>
      </c>
      <c r="G193" s="5">
        <v>70.71</v>
      </c>
      <c r="H193" s="5" t="s">
        <v>14</v>
      </c>
      <c r="I193" s="5">
        <v>77.8</v>
      </c>
      <c r="J193" s="5" t="s">
        <v>14</v>
      </c>
      <c r="K193" s="7">
        <v>75.67</v>
      </c>
      <c r="L193" s="8">
        <v>17</v>
      </c>
      <c r="M193" s="9"/>
    </row>
    <row r="194" s="1" customFormat="1" ht="20.1" customHeight="1" spans="1:13">
      <c r="A194" s="4" t="str">
        <f>"37502022022711303420020"</f>
        <v>37502022022711303420020</v>
      </c>
      <c r="B194" s="4" t="s">
        <v>191</v>
      </c>
      <c r="C194" s="4" t="s">
        <v>209</v>
      </c>
      <c r="D194" s="4" t="str">
        <f>"20220030828"</f>
        <v>20220030828</v>
      </c>
      <c r="E194" s="4" t="str">
        <f t="shared" si="36"/>
        <v>08</v>
      </c>
      <c r="F194" s="4" t="str">
        <f>"28"</f>
        <v>28</v>
      </c>
      <c r="G194" s="5">
        <v>77.21</v>
      </c>
      <c r="H194" s="5" t="s">
        <v>14</v>
      </c>
      <c r="I194" s="5">
        <v>74.9</v>
      </c>
      <c r="J194" s="5" t="s">
        <v>14</v>
      </c>
      <c r="K194" s="7">
        <v>75.59</v>
      </c>
      <c r="L194" s="8">
        <v>18</v>
      </c>
      <c r="M194" s="9"/>
    </row>
    <row r="195" s="1" customFormat="1" ht="20.1" customHeight="1" spans="1:13">
      <c r="A195" s="4" t="str">
        <f>"37502022022820341522960"</f>
        <v>37502022022820341522960</v>
      </c>
      <c r="B195" s="4" t="s">
        <v>191</v>
      </c>
      <c r="C195" s="4" t="s">
        <v>210</v>
      </c>
      <c r="D195" s="4" t="str">
        <f>"20220030809"</f>
        <v>20220030809</v>
      </c>
      <c r="E195" s="4" t="str">
        <f t="shared" si="36"/>
        <v>08</v>
      </c>
      <c r="F195" s="4" t="str">
        <f>"09"</f>
        <v>09</v>
      </c>
      <c r="G195" s="5">
        <v>73.4</v>
      </c>
      <c r="H195" s="5" t="s">
        <v>14</v>
      </c>
      <c r="I195" s="5">
        <v>76.4</v>
      </c>
      <c r="J195" s="5" t="s">
        <v>14</v>
      </c>
      <c r="K195" s="7">
        <v>75.5</v>
      </c>
      <c r="L195" s="8">
        <v>19</v>
      </c>
      <c r="M195" s="9"/>
    </row>
    <row r="196" s="1" customFormat="1" ht="20.1" customHeight="1" spans="1:13">
      <c r="A196" s="4" t="str">
        <f>"37502022022609415418772"</f>
        <v>37502022022609415418772</v>
      </c>
      <c r="B196" s="4" t="s">
        <v>191</v>
      </c>
      <c r="C196" s="4" t="s">
        <v>211</v>
      </c>
      <c r="D196" s="4" t="str">
        <f>"20220030823"</f>
        <v>20220030823</v>
      </c>
      <c r="E196" s="4" t="str">
        <f t="shared" si="36"/>
        <v>08</v>
      </c>
      <c r="F196" s="4" t="str">
        <f>"23"</f>
        <v>23</v>
      </c>
      <c r="G196" s="5">
        <v>79.88</v>
      </c>
      <c r="H196" s="5" t="s">
        <v>14</v>
      </c>
      <c r="I196" s="5">
        <v>73.2</v>
      </c>
      <c r="J196" s="5" t="s">
        <v>14</v>
      </c>
      <c r="K196" s="7">
        <v>75.2</v>
      </c>
      <c r="L196" s="8">
        <v>20</v>
      </c>
      <c r="M196" s="9"/>
    </row>
    <row r="197" s="1" customFormat="1" ht="20.1" customHeight="1" spans="1:13">
      <c r="A197" s="4" t="str">
        <f>"37502022030115172423899"</f>
        <v>37502022030115172423899</v>
      </c>
      <c r="B197" s="4" t="s">
        <v>191</v>
      </c>
      <c r="C197" s="4" t="s">
        <v>212</v>
      </c>
      <c r="D197" s="4" t="str">
        <f>"20220030717"</f>
        <v>20220030717</v>
      </c>
      <c r="E197" s="4" t="str">
        <f>"07"</f>
        <v>07</v>
      </c>
      <c r="F197" s="4" t="str">
        <f>"17"</f>
        <v>17</v>
      </c>
      <c r="G197" s="5">
        <v>70.19</v>
      </c>
      <c r="H197" s="5" t="s">
        <v>14</v>
      </c>
      <c r="I197" s="5">
        <v>77.2</v>
      </c>
      <c r="J197" s="5" t="s">
        <v>14</v>
      </c>
      <c r="K197" s="7">
        <v>75.1</v>
      </c>
      <c r="L197" s="8">
        <v>21</v>
      </c>
      <c r="M197" s="9"/>
    </row>
    <row r="198" s="1" customFormat="1" ht="20.1" customHeight="1" spans="1:13">
      <c r="A198" s="4" t="str">
        <f>"37502022030120535624518"</f>
        <v>37502022030120535624518</v>
      </c>
      <c r="B198" s="4" t="s">
        <v>191</v>
      </c>
      <c r="C198" s="4" t="s">
        <v>213</v>
      </c>
      <c r="D198" s="4" t="str">
        <f>"20220030901"</f>
        <v>20220030901</v>
      </c>
      <c r="E198" s="4" t="str">
        <f>"09"</f>
        <v>09</v>
      </c>
      <c r="F198" s="4" t="str">
        <f>"01"</f>
        <v>01</v>
      </c>
      <c r="G198" s="5">
        <v>72.57</v>
      </c>
      <c r="H198" s="5" t="s">
        <v>14</v>
      </c>
      <c r="I198" s="5">
        <v>75.5</v>
      </c>
      <c r="J198" s="5" t="s">
        <v>14</v>
      </c>
      <c r="K198" s="7">
        <v>74.62</v>
      </c>
      <c r="L198" s="8">
        <v>22</v>
      </c>
      <c r="M198" s="9"/>
    </row>
    <row r="199" s="1" customFormat="1" ht="20.1" customHeight="1" spans="1:13">
      <c r="A199" s="4" t="str">
        <f>"37502022030120403424485"</f>
        <v>37502022030120403424485</v>
      </c>
      <c r="B199" s="4" t="s">
        <v>191</v>
      </c>
      <c r="C199" s="4" t="s">
        <v>214</v>
      </c>
      <c r="D199" s="4" t="str">
        <f>"20220030625"</f>
        <v>20220030625</v>
      </c>
      <c r="E199" s="4" t="str">
        <f>"06"</f>
        <v>06</v>
      </c>
      <c r="F199" s="4" t="str">
        <f>"25"</f>
        <v>25</v>
      </c>
      <c r="G199" s="5">
        <v>70.98</v>
      </c>
      <c r="H199" s="5" t="s">
        <v>14</v>
      </c>
      <c r="I199" s="5">
        <v>75.5</v>
      </c>
      <c r="J199" s="5" t="s">
        <v>14</v>
      </c>
      <c r="K199" s="7">
        <v>74.14</v>
      </c>
      <c r="L199" s="8">
        <v>23</v>
      </c>
      <c r="M199" s="9"/>
    </row>
    <row r="200" s="1" customFormat="1" ht="20.1" customHeight="1" spans="1:13">
      <c r="A200" s="4" t="str">
        <f>"37502022030112582623695"</f>
        <v>37502022030112582623695</v>
      </c>
      <c r="B200" s="4" t="s">
        <v>191</v>
      </c>
      <c r="C200" s="4" t="s">
        <v>215</v>
      </c>
      <c r="D200" s="4" t="str">
        <f>"20220030904"</f>
        <v>20220030904</v>
      </c>
      <c r="E200" s="4" t="str">
        <f>"09"</f>
        <v>09</v>
      </c>
      <c r="F200" s="4" t="str">
        <f>"04"</f>
        <v>04</v>
      </c>
      <c r="G200" s="5">
        <v>77.38</v>
      </c>
      <c r="H200" s="5" t="s">
        <v>14</v>
      </c>
      <c r="I200" s="5">
        <v>72.4</v>
      </c>
      <c r="J200" s="5" t="s">
        <v>14</v>
      </c>
      <c r="K200" s="7">
        <v>73.89</v>
      </c>
      <c r="L200" s="8">
        <v>24</v>
      </c>
      <c r="M200" s="9"/>
    </row>
    <row r="201" s="1" customFormat="1" ht="20.1" customHeight="1" spans="1:13">
      <c r="A201" s="4" t="str">
        <f>"37502022030209303824925"</f>
        <v>37502022030209303824925</v>
      </c>
      <c r="B201" s="4" t="s">
        <v>191</v>
      </c>
      <c r="C201" s="4" t="s">
        <v>216</v>
      </c>
      <c r="D201" s="4" t="str">
        <f>"20220030829"</f>
        <v>20220030829</v>
      </c>
      <c r="E201" s="4" t="str">
        <f t="shared" ref="E201:E204" si="37">"08"</f>
        <v>08</v>
      </c>
      <c r="F201" s="4" t="str">
        <f>"29"</f>
        <v>29</v>
      </c>
      <c r="G201" s="5">
        <v>68.22</v>
      </c>
      <c r="H201" s="5" t="s">
        <v>14</v>
      </c>
      <c r="I201" s="5">
        <v>74.9</v>
      </c>
      <c r="J201" s="5" t="s">
        <v>14</v>
      </c>
      <c r="K201" s="7">
        <v>72.9</v>
      </c>
      <c r="L201" s="8">
        <v>25</v>
      </c>
      <c r="M201" s="9"/>
    </row>
    <row r="202" s="1" customFormat="1" ht="20.1" customHeight="1" spans="1:13">
      <c r="A202" s="4" t="str">
        <f>"37502022022817161922778"</f>
        <v>37502022022817161922778</v>
      </c>
      <c r="B202" s="4" t="s">
        <v>191</v>
      </c>
      <c r="C202" s="4" t="s">
        <v>217</v>
      </c>
      <c r="D202" s="4" t="str">
        <f>"20220030707"</f>
        <v>20220030707</v>
      </c>
      <c r="E202" s="4" t="str">
        <f>"07"</f>
        <v>07</v>
      </c>
      <c r="F202" s="4" t="str">
        <f>"07"</f>
        <v>07</v>
      </c>
      <c r="G202" s="5">
        <v>75.61</v>
      </c>
      <c r="H202" s="5" t="s">
        <v>14</v>
      </c>
      <c r="I202" s="5">
        <v>71.6</v>
      </c>
      <c r="J202" s="5" t="s">
        <v>14</v>
      </c>
      <c r="K202" s="7">
        <v>72.8</v>
      </c>
      <c r="L202" s="8">
        <v>26</v>
      </c>
      <c r="M202" s="9"/>
    </row>
    <row r="203" s="1" customFormat="1" ht="20.1" customHeight="1" spans="1:13">
      <c r="A203" s="4" t="str">
        <f>"37502022030116362724030"</f>
        <v>37502022030116362724030</v>
      </c>
      <c r="B203" s="4" t="s">
        <v>191</v>
      </c>
      <c r="C203" s="4" t="s">
        <v>218</v>
      </c>
      <c r="D203" s="4" t="str">
        <f>"20220030819"</f>
        <v>20220030819</v>
      </c>
      <c r="E203" s="4" t="str">
        <f t="shared" si="37"/>
        <v>08</v>
      </c>
      <c r="F203" s="4" t="str">
        <f>"19"</f>
        <v>19</v>
      </c>
      <c r="G203" s="5">
        <v>77.01</v>
      </c>
      <c r="H203" s="5" t="s">
        <v>14</v>
      </c>
      <c r="I203" s="5">
        <v>70.9</v>
      </c>
      <c r="J203" s="5" t="s">
        <v>14</v>
      </c>
      <c r="K203" s="7">
        <v>72.73</v>
      </c>
      <c r="L203" s="8">
        <v>27</v>
      </c>
      <c r="M203" s="9"/>
    </row>
    <row r="204" s="1" customFormat="1" ht="20.1" customHeight="1" spans="1:13">
      <c r="A204" s="4" t="str">
        <f>"37502022030222045126075"</f>
        <v>37502022030222045126075</v>
      </c>
      <c r="B204" s="4" t="s">
        <v>191</v>
      </c>
      <c r="C204" s="4" t="s">
        <v>219</v>
      </c>
      <c r="D204" s="4" t="str">
        <f>"20220030812"</f>
        <v>20220030812</v>
      </c>
      <c r="E204" s="4" t="str">
        <f t="shared" si="37"/>
        <v>08</v>
      </c>
      <c r="F204" s="4" t="str">
        <f>"12"</f>
        <v>12</v>
      </c>
      <c r="G204" s="5">
        <v>66.88</v>
      </c>
      <c r="H204" s="5" t="s">
        <v>14</v>
      </c>
      <c r="I204" s="5">
        <v>74.7</v>
      </c>
      <c r="J204" s="5" t="s">
        <v>14</v>
      </c>
      <c r="K204" s="7">
        <v>72.35</v>
      </c>
      <c r="L204" s="8">
        <v>28</v>
      </c>
      <c r="M204" s="9"/>
    </row>
    <row r="205" s="1" customFormat="1" ht="20.1" customHeight="1" spans="1:13">
      <c r="A205" s="4" t="str">
        <f>"37502022022610075718829"</f>
        <v>37502022022610075718829</v>
      </c>
      <c r="B205" s="4" t="s">
        <v>191</v>
      </c>
      <c r="C205" s="4" t="s">
        <v>220</v>
      </c>
      <c r="D205" s="4" t="str">
        <f>"20220030912"</f>
        <v>20220030912</v>
      </c>
      <c r="E205" s="4" t="str">
        <f t="shared" ref="E205:E209" si="38">"09"</f>
        <v>09</v>
      </c>
      <c r="F205" s="4" t="str">
        <f>"12"</f>
        <v>12</v>
      </c>
      <c r="G205" s="5">
        <v>65.66</v>
      </c>
      <c r="H205" s="5" t="s">
        <v>14</v>
      </c>
      <c r="I205" s="5">
        <v>73.9</v>
      </c>
      <c r="J205" s="5" t="s">
        <v>14</v>
      </c>
      <c r="K205" s="7">
        <v>71.43</v>
      </c>
      <c r="L205" s="8">
        <v>29</v>
      </c>
      <c r="M205" s="9"/>
    </row>
    <row r="206" s="1" customFormat="1" ht="20.1" customHeight="1" spans="1:13">
      <c r="A206" s="4" t="str">
        <f>"37502022022717522320543"</f>
        <v>37502022022717522320543</v>
      </c>
      <c r="B206" s="4" t="s">
        <v>191</v>
      </c>
      <c r="C206" s="4" t="s">
        <v>221</v>
      </c>
      <c r="D206" s="4" t="str">
        <f>"20220030902"</f>
        <v>20220030902</v>
      </c>
      <c r="E206" s="4" t="str">
        <f t="shared" si="38"/>
        <v>09</v>
      </c>
      <c r="F206" s="4" t="str">
        <f>"02"</f>
        <v>02</v>
      </c>
      <c r="G206" s="5">
        <v>68.66</v>
      </c>
      <c r="H206" s="5" t="s">
        <v>14</v>
      </c>
      <c r="I206" s="5">
        <v>72.6</v>
      </c>
      <c r="J206" s="5" t="s">
        <v>14</v>
      </c>
      <c r="K206" s="7">
        <v>71.42</v>
      </c>
      <c r="L206" s="8">
        <v>30</v>
      </c>
      <c r="M206" s="9"/>
    </row>
    <row r="207" s="1" customFormat="1" ht="20.1" customHeight="1" spans="1:13">
      <c r="A207" s="4" t="str">
        <f>"37502022022712294520097"</f>
        <v>37502022022712294520097</v>
      </c>
      <c r="B207" s="4" t="s">
        <v>191</v>
      </c>
      <c r="C207" s="4" t="s">
        <v>222</v>
      </c>
      <c r="D207" s="4" t="str">
        <f>"20220030729"</f>
        <v>20220030729</v>
      </c>
      <c r="E207" s="4" t="str">
        <f>"07"</f>
        <v>07</v>
      </c>
      <c r="F207" s="4" t="str">
        <f>"29"</f>
        <v>29</v>
      </c>
      <c r="G207" s="5">
        <v>69.67</v>
      </c>
      <c r="H207" s="5" t="s">
        <v>14</v>
      </c>
      <c r="I207" s="5">
        <v>72.1</v>
      </c>
      <c r="J207" s="5" t="s">
        <v>14</v>
      </c>
      <c r="K207" s="7">
        <v>71.37</v>
      </c>
      <c r="L207" s="8">
        <v>31</v>
      </c>
      <c r="M207" s="9"/>
    </row>
    <row r="208" s="1" customFormat="1" ht="20.1" customHeight="1" spans="1:13">
      <c r="A208" s="4" t="str">
        <f>"37502022022811303221794"</f>
        <v>37502022022811303221794</v>
      </c>
      <c r="B208" s="4" t="s">
        <v>191</v>
      </c>
      <c r="C208" s="4" t="s">
        <v>223</v>
      </c>
      <c r="D208" s="4" t="str">
        <f>"20220030905"</f>
        <v>20220030905</v>
      </c>
      <c r="E208" s="4" t="str">
        <f t="shared" si="38"/>
        <v>09</v>
      </c>
      <c r="F208" s="4" t="str">
        <f>"05"</f>
        <v>05</v>
      </c>
      <c r="G208" s="5">
        <v>68.82</v>
      </c>
      <c r="H208" s="5" t="s">
        <v>14</v>
      </c>
      <c r="I208" s="5">
        <v>71</v>
      </c>
      <c r="J208" s="5" t="s">
        <v>14</v>
      </c>
      <c r="K208" s="7">
        <v>70.35</v>
      </c>
      <c r="L208" s="8">
        <v>32</v>
      </c>
      <c r="M208" s="9"/>
    </row>
    <row r="209" s="1" customFormat="1" ht="20.1" customHeight="1" spans="1:13">
      <c r="A209" s="4" t="str">
        <f>"37502022022817494822812"</f>
        <v>37502022022817494822812</v>
      </c>
      <c r="B209" s="4" t="s">
        <v>191</v>
      </c>
      <c r="C209" s="4" t="s">
        <v>224</v>
      </c>
      <c r="D209" s="4" t="str">
        <f>"20220030906"</f>
        <v>20220030906</v>
      </c>
      <c r="E209" s="4" t="str">
        <f t="shared" si="38"/>
        <v>09</v>
      </c>
      <c r="F209" s="4" t="str">
        <f>"06"</f>
        <v>06</v>
      </c>
      <c r="G209" s="5">
        <v>69.53</v>
      </c>
      <c r="H209" s="5" t="s">
        <v>14</v>
      </c>
      <c r="I209" s="5">
        <v>70.6</v>
      </c>
      <c r="J209" s="5" t="s">
        <v>14</v>
      </c>
      <c r="K209" s="7">
        <v>70.28</v>
      </c>
      <c r="L209" s="8">
        <v>33</v>
      </c>
      <c r="M209" s="9"/>
    </row>
    <row r="210" s="1" customFormat="1" ht="20.1" customHeight="1" spans="1:13">
      <c r="A210" s="4" t="str">
        <f>"37502022030217040525592"</f>
        <v>37502022030217040525592</v>
      </c>
      <c r="B210" s="4" t="s">
        <v>191</v>
      </c>
      <c r="C210" s="4" t="s">
        <v>225</v>
      </c>
      <c r="D210" s="4" t="str">
        <f>"20220030626"</f>
        <v>20220030626</v>
      </c>
      <c r="E210" s="4" t="str">
        <f>"06"</f>
        <v>06</v>
      </c>
      <c r="F210" s="4" t="str">
        <f>"26"</f>
        <v>26</v>
      </c>
      <c r="G210" s="5">
        <v>67.01</v>
      </c>
      <c r="H210" s="5" t="s">
        <v>14</v>
      </c>
      <c r="I210" s="5">
        <v>70.9</v>
      </c>
      <c r="J210" s="5" t="s">
        <v>14</v>
      </c>
      <c r="K210" s="7">
        <v>69.73</v>
      </c>
      <c r="L210" s="8">
        <v>34</v>
      </c>
      <c r="M210" s="9"/>
    </row>
    <row r="211" s="1" customFormat="1" ht="20.1" customHeight="1" spans="1:13">
      <c r="A211" s="4" t="str">
        <f>"37502022022609413718766"</f>
        <v>37502022022609413718766</v>
      </c>
      <c r="B211" s="4" t="s">
        <v>191</v>
      </c>
      <c r="C211" s="4" t="s">
        <v>226</v>
      </c>
      <c r="D211" s="4" t="str">
        <f>"20220030803"</f>
        <v>20220030803</v>
      </c>
      <c r="E211" s="4" t="str">
        <f>"08"</f>
        <v>08</v>
      </c>
      <c r="F211" s="4" t="str">
        <f>"03"</f>
        <v>03</v>
      </c>
      <c r="G211" s="5">
        <v>73.36</v>
      </c>
      <c r="H211" s="5" t="s">
        <v>14</v>
      </c>
      <c r="I211" s="5">
        <v>68</v>
      </c>
      <c r="J211" s="5" t="s">
        <v>14</v>
      </c>
      <c r="K211" s="7">
        <v>69.61</v>
      </c>
      <c r="L211" s="8">
        <v>35</v>
      </c>
      <c r="M211" s="9"/>
    </row>
    <row r="212" s="1" customFormat="1" ht="20.1" customHeight="1" spans="1:13">
      <c r="A212" s="4" t="str">
        <f>"37502022022612285519090"</f>
        <v>37502022022612285519090</v>
      </c>
      <c r="B212" s="4" t="s">
        <v>191</v>
      </c>
      <c r="C212" s="4" t="s">
        <v>227</v>
      </c>
      <c r="D212" s="4" t="str">
        <f>"20220030630"</f>
        <v>20220030630</v>
      </c>
      <c r="E212" s="4" t="str">
        <f>"06"</f>
        <v>06</v>
      </c>
      <c r="F212" s="4" t="str">
        <f>"30"</f>
        <v>30</v>
      </c>
      <c r="G212" s="5">
        <v>70.71</v>
      </c>
      <c r="H212" s="5" t="s">
        <v>14</v>
      </c>
      <c r="I212" s="5">
        <v>69.1</v>
      </c>
      <c r="J212" s="5" t="s">
        <v>14</v>
      </c>
      <c r="K212" s="7">
        <v>69.58</v>
      </c>
      <c r="L212" s="8">
        <v>36</v>
      </c>
      <c r="M212" s="9"/>
    </row>
    <row r="213" s="1" customFormat="1" ht="20.1" customHeight="1" spans="1:13">
      <c r="A213" s="4" t="str">
        <f>"37502022030214083825356"</f>
        <v>37502022030214083825356</v>
      </c>
      <c r="B213" s="4" t="s">
        <v>191</v>
      </c>
      <c r="C213" s="4" t="s">
        <v>228</v>
      </c>
      <c r="D213" s="4" t="str">
        <f>"20220030708"</f>
        <v>20220030708</v>
      </c>
      <c r="E213" s="4" t="str">
        <f t="shared" ref="E213:E216" si="39">"07"</f>
        <v>07</v>
      </c>
      <c r="F213" s="4" t="str">
        <f>"08"</f>
        <v>08</v>
      </c>
      <c r="G213" s="5">
        <v>70.96</v>
      </c>
      <c r="H213" s="5" t="s">
        <v>14</v>
      </c>
      <c r="I213" s="5">
        <v>68.5</v>
      </c>
      <c r="J213" s="5" t="s">
        <v>14</v>
      </c>
      <c r="K213" s="7">
        <v>69.24</v>
      </c>
      <c r="L213" s="8">
        <v>37</v>
      </c>
      <c r="M213" s="9"/>
    </row>
    <row r="214" s="1" customFormat="1" ht="20.1" customHeight="1" spans="1:13">
      <c r="A214" s="4" t="str">
        <f>"37502022022719273820668"</f>
        <v>37502022022719273820668</v>
      </c>
      <c r="B214" s="4" t="s">
        <v>191</v>
      </c>
      <c r="C214" s="4" t="s">
        <v>229</v>
      </c>
      <c r="D214" s="4" t="str">
        <f>"20220030710"</f>
        <v>20220030710</v>
      </c>
      <c r="E214" s="4" t="str">
        <f t="shared" si="39"/>
        <v>07</v>
      </c>
      <c r="F214" s="4" t="str">
        <f>"10"</f>
        <v>10</v>
      </c>
      <c r="G214" s="5">
        <v>69.26</v>
      </c>
      <c r="H214" s="5" t="s">
        <v>14</v>
      </c>
      <c r="I214" s="5">
        <v>69.2</v>
      </c>
      <c r="J214" s="5" t="s">
        <v>14</v>
      </c>
      <c r="K214" s="7">
        <v>69.22</v>
      </c>
      <c r="L214" s="8">
        <v>38</v>
      </c>
      <c r="M214" s="9"/>
    </row>
    <row r="215" s="1" customFormat="1" ht="20.1" customHeight="1" spans="1:13">
      <c r="A215" s="4" t="str">
        <f>"37502022022810390921649"</f>
        <v>37502022022810390921649</v>
      </c>
      <c r="B215" s="4" t="s">
        <v>191</v>
      </c>
      <c r="C215" s="4" t="s">
        <v>230</v>
      </c>
      <c r="D215" s="4" t="str">
        <f>"20220030808"</f>
        <v>20220030808</v>
      </c>
      <c r="E215" s="4" t="str">
        <f t="shared" ref="E215:E219" si="40">"08"</f>
        <v>08</v>
      </c>
      <c r="F215" s="4" t="str">
        <f>"08"</f>
        <v>08</v>
      </c>
      <c r="G215" s="5">
        <v>70.19</v>
      </c>
      <c r="H215" s="5" t="s">
        <v>14</v>
      </c>
      <c r="I215" s="5">
        <v>68</v>
      </c>
      <c r="J215" s="5" t="s">
        <v>14</v>
      </c>
      <c r="K215" s="7">
        <v>68.66</v>
      </c>
      <c r="L215" s="8">
        <v>39</v>
      </c>
      <c r="M215" s="9"/>
    </row>
    <row r="216" s="1" customFormat="1" ht="20.1" customHeight="1" spans="1:13">
      <c r="A216" s="4" t="str">
        <f>"37502022030113544623786"</f>
        <v>37502022030113544623786</v>
      </c>
      <c r="B216" s="4" t="s">
        <v>191</v>
      </c>
      <c r="C216" s="4" t="s">
        <v>231</v>
      </c>
      <c r="D216" s="4" t="str">
        <f>"20220030724"</f>
        <v>20220030724</v>
      </c>
      <c r="E216" s="4" t="str">
        <f t="shared" si="39"/>
        <v>07</v>
      </c>
      <c r="F216" s="4" t="str">
        <f>"24"</f>
        <v>24</v>
      </c>
      <c r="G216" s="5">
        <v>73</v>
      </c>
      <c r="H216" s="5" t="s">
        <v>14</v>
      </c>
      <c r="I216" s="5">
        <v>66</v>
      </c>
      <c r="J216" s="5" t="s">
        <v>14</v>
      </c>
      <c r="K216" s="7">
        <v>68.1</v>
      </c>
      <c r="L216" s="8">
        <v>40</v>
      </c>
      <c r="M216" s="9"/>
    </row>
    <row r="217" s="1" customFormat="1" ht="20.1" customHeight="1" spans="1:13">
      <c r="A217" s="4" t="str">
        <f>"37502022022712463420119"</f>
        <v>37502022022712463420119</v>
      </c>
      <c r="B217" s="4" t="s">
        <v>191</v>
      </c>
      <c r="C217" s="4" t="s">
        <v>232</v>
      </c>
      <c r="D217" s="4" t="str">
        <f>"20220030822"</f>
        <v>20220030822</v>
      </c>
      <c r="E217" s="4" t="str">
        <f t="shared" si="40"/>
        <v>08</v>
      </c>
      <c r="F217" s="4" t="str">
        <f>"22"</f>
        <v>22</v>
      </c>
      <c r="G217" s="5">
        <v>66.76</v>
      </c>
      <c r="H217" s="5" t="s">
        <v>14</v>
      </c>
      <c r="I217" s="5">
        <v>68</v>
      </c>
      <c r="J217" s="5" t="s">
        <v>14</v>
      </c>
      <c r="K217" s="7">
        <v>67.63</v>
      </c>
      <c r="L217" s="8">
        <v>41</v>
      </c>
      <c r="M217" s="9"/>
    </row>
    <row r="218" s="1" customFormat="1" ht="20.1" customHeight="1" spans="1:13">
      <c r="A218" s="4" t="str">
        <f>"37502022022807593221281"</f>
        <v>37502022022807593221281</v>
      </c>
      <c r="B218" s="4" t="s">
        <v>191</v>
      </c>
      <c r="C218" s="4" t="s">
        <v>233</v>
      </c>
      <c r="D218" s="4" t="str">
        <f>"20220030706"</f>
        <v>20220030706</v>
      </c>
      <c r="E218" s="4" t="str">
        <f t="shared" ref="E218:E222" si="41">"07"</f>
        <v>07</v>
      </c>
      <c r="F218" s="4" t="str">
        <f>"06"</f>
        <v>06</v>
      </c>
      <c r="G218" s="5">
        <v>74.2</v>
      </c>
      <c r="H218" s="5" t="s">
        <v>14</v>
      </c>
      <c r="I218" s="5">
        <v>64.6</v>
      </c>
      <c r="J218" s="5" t="s">
        <v>14</v>
      </c>
      <c r="K218" s="7">
        <v>67.48</v>
      </c>
      <c r="L218" s="8">
        <v>42</v>
      </c>
      <c r="M218" s="9"/>
    </row>
    <row r="219" s="1" customFormat="1" ht="20.1" customHeight="1" spans="1:13">
      <c r="A219" s="4" t="str">
        <f>"37502022030210082524991"</f>
        <v>37502022030210082524991</v>
      </c>
      <c r="B219" s="4" t="s">
        <v>191</v>
      </c>
      <c r="C219" s="4" t="s">
        <v>234</v>
      </c>
      <c r="D219" s="4" t="str">
        <f>"20220030813"</f>
        <v>20220030813</v>
      </c>
      <c r="E219" s="4" t="str">
        <f t="shared" si="40"/>
        <v>08</v>
      </c>
      <c r="F219" s="4" t="str">
        <f>"13"</f>
        <v>13</v>
      </c>
      <c r="G219" s="5">
        <v>69.91</v>
      </c>
      <c r="H219" s="5" t="s">
        <v>14</v>
      </c>
      <c r="I219" s="5">
        <v>65.6</v>
      </c>
      <c r="J219" s="5" t="s">
        <v>14</v>
      </c>
      <c r="K219" s="7">
        <v>66.89</v>
      </c>
      <c r="L219" s="8">
        <v>43</v>
      </c>
      <c r="M219" s="9"/>
    </row>
    <row r="220" s="1" customFormat="1" ht="20.1" customHeight="1" spans="1:13">
      <c r="A220" s="4" t="str">
        <f>"37502022022612381019105"</f>
        <v>37502022022612381019105</v>
      </c>
      <c r="B220" s="4" t="s">
        <v>191</v>
      </c>
      <c r="C220" s="4" t="s">
        <v>235</v>
      </c>
      <c r="D220" s="4" t="str">
        <f>"20220030720"</f>
        <v>20220030720</v>
      </c>
      <c r="E220" s="4" t="str">
        <f t="shared" si="41"/>
        <v>07</v>
      </c>
      <c r="F220" s="4" t="str">
        <f>"20"</f>
        <v>20</v>
      </c>
      <c r="G220" s="5">
        <v>59.74</v>
      </c>
      <c r="H220" s="5" t="s">
        <v>14</v>
      </c>
      <c r="I220" s="5">
        <v>69.9</v>
      </c>
      <c r="J220" s="5" t="s">
        <v>14</v>
      </c>
      <c r="K220" s="7">
        <v>66.85</v>
      </c>
      <c r="L220" s="8">
        <v>44</v>
      </c>
      <c r="M220" s="9"/>
    </row>
    <row r="221" s="1" customFormat="1" ht="20.1" customHeight="1" spans="1:13">
      <c r="A221" s="4" t="str">
        <f>"37502022022812260421926"</f>
        <v>37502022022812260421926</v>
      </c>
      <c r="B221" s="4" t="s">
        <v>191</v>
      </c>
      <c r="C221" s="4" t="s">
        <v>236</v>
      </c>
      <c r="D221" s="4" t="str">
        <f>"20220030713"</f>
        <v>20220030713</v>
      </c>
      <c r="E221" s="4" t="str">
        <f t="shared" si="41"/>
        <v>07</v>
      </c>
      <c r="F221" s="4" t="str">
        <f>"13"</f>
        <v>13</v>
      </c>
      <c r="G221" s="5">
        <v>66.27</v>
      </c>
      <c r="H221" s="5" t="s">
        <v>14</v>
      </c>
      <c r="I221" s="5">
        <v>66.8</v>
      </c>
      <c r="J221" s="5" t="s">
        <v>14</v>
      </c>
      <c r="K221" s="7">
        <v>66.64</v>
      </c>
      <c r="L221" s="8">
        <v>45</v>
      </c>
      <c r="M221" s="9"/>
    </row>
    <row r="222" s="1" customFormat="1" ht="20.1" customHeight="1" spans="1:13">
      <c r="A222" s="4" t="str">
        <f>"37502022022711502920052"</f>
        <v>37502022022711502920052</v>
      </c>
      <c r="B222" s="4" t="s">
        <v>191</v>
      </c>
      <c r="C222" s="4" t="s">
        <v>237</v>
      </c>
      <c r="D222" s="4" t="str">
        <f>"20220030703"</f>
        <v>20220030703</v>
      </c>
      <c r="E222" s="4" t="str">
        <f t="shared" si="41"/>
        <v>07</v>
      </c>
      <c r="F222" s="4" t="str">
        <f>"03"</f>
        <v>03</v>
      </c>
      <c r="G222" s="5">
        <v>64.45</v>
      </c>
      <c r="H222" s="5" t="s">
        <v>14</v>
      </c>
      <c r="I222" s="5">
        <v>67.4</v>
      </c>
      <c r="J222" s="5" t="s">
        <v>14</v>
      </c>
      <c r="K222" s="7">
        <v>66.52</v>
      </c>
      <c r="L222" s="8">
        <v>46</v>
      </c>
      <c r="M222" s="9"/>
    </row>
    <row r="223" s="1" customFormat="1" ht="20.1" customHeight="1" spans="1:13">
      <c r="A223" s="4" t="str">
        <f>"37502022030112390223654"</f>
        <v>37502022030112390223654</v>
      </c>
      <c r="B223" s="4" t="s">
        <v>191</v>
      </c>
      <c r="C223" s="4" t="s">
        <v>238</v>
      </c>
      <c r="D223" s="4" t="str">
        <f>"20220030801"</f>
        <v>20220030801</v>
      </c>
      <c r="E223" s="4" t="str">
        <f t="shared" ref="E223:E225" si="42">"08"</f>
        <v>08</v>
      </c>
      <c r="F223" s="4" t="str">
        <f>"01"</f>
        <v>01</v>
      </c>
      <c r="G223" s="5">
        <v>66.97</v>
      </c>
      <c r="H223" s="5" t="s">
        <v>14</v>
      </c>
      <c r="I223" s="5">
        <v>66.1</v>
      </c>
      <c r="J223" s="5" t="s">
        <v>14</v>
      </c>
      <c r="K223" s="7">
        <v>66.36</v>
      </c>
      <c r="L223" s="8">
        <v>47</v>
      </c>
      <c r="M223" s="9"/>
    </row>
    <row r="224" s="1" customFormat="1" ht="20.1" customHeight="1" spans="1:13">
      <c r="A224" s="4" t="str">
        <f>"37502022022612313019095"</f>
        <v>37502022022612313019095</v>
      </c>
      <c r="B224" s="4" t="s">
        <v>191</v>
      </c>
      <c r="C224" s="4" t="s">
        <v>239</v>
      </c>
      <c r="D224" s="4" t="str">
        <f>"20220030804"</f>
        <v>20220030804</v>
      </c>
      <c r="E224" s="4" t="str">
        <f t="shared" si="42"/>
        <v>08</v>
      </c>
      <c r="F224" s="4" t="str">
        <f>"04"</f>
        <v>04</v>
      </c>
      <c r="G224" s="5">
        <v>65.77</v>
      </c>
      <c r="H224" s="5" t="s">
        <v>14</v>
      </c>
      <c r="I224" s="5">
        <v>65.4</v>
      </c>
      <c r="J224" s="5" t="s">
        <v>14</v>
      </c>
      <c r="K224" s="7">
        <v>65.51</v>
      </c>
      <c r="L224" s="8">
        <v>48</v>
      </c>
      <c r="M224" s="9"/>
    </row>
    <row r="225" s="1" customFormat="1" ht="20.1" customHeight="1" spans="1:13">
      <c r="A225" s="4" t="str">
        <f>"37502022030113124123719"</f>
        <v>37502022030113124123719</v>
      </c>
      <c r="B225" s="4" t="s">
        <v>191</v>
      </c>
      <c r="C225" s="4" t="s">
        <v>240</v>
      </c>
      <c r="D225" s="4" t="str">
        <f>"20220030810"</f>
        <v>20220030810</v>
      </c>
      <c r="E225" s="4" t="str">
        <f t="shared" si="42"/>
        <v>08</v>
      </c>
      <c r="F225" s="4" t="str">
        <f>"10"</f>
        <v>10</v>
      </c>
      <c r="G225" s="5">
        <v>65.25</v>
      </c>
      <c r="H225" s="5" t="s">
        <v>14</v>
      </c>
      <c r="I225" s="5">
        <v>65.2</v>
      </c>
      <c r="J225" s="5" t="s">
        <v>14</v>
      </c>
      <c r="K225" s="7">
        <v>65.22</v>
      </c>
      <c r="L225" s="8">
        <v>49</v>
      </c>
      <c r="M225" s="9"/>
    </row>
    <row r="226" s="1" customFormat="1" ht="20.1" customHeight="1" spans="1:13">
      <c r="A226" s="4" t="str">
        <f>"37502022030112245823628"</f>
        <v>37502022030112245823628</v>
      </c>
      <c r="B226" s="4" t="s">
        <v>191</v>
      </c>
      <c r="C226" s="4" t="s">
        <v>241</v>
      </c>
      <c r="D226" s="4" t="str">
        <f>"20220030627"</f>
        <v>20220030627</v>
      </c>
      <c r="E226" s="4" t="str">
        <f>"06"</f>
        <v>06</v>
      </c>
      <c r="F226" s="4" t="str">
        <f>"27"</f>
        <v>27</v>
      </c>
      <c r="G226" s="5">
        <v>58.84</v>
      </c>
      <c r="H226" s="5" t="s">
        <v>14</v>
      </c>
      <c r="I226" s="5">
        <v>64.3</v>
      </c>
      <c r="J226" s="5" t="s">
        <v>14</v>
      </c>
      <c r="K226" s="7">
        <v>62.66</v>
      </c>
      <c r="L226" s="8">
        <v>50</v>
      </c>
      <c r="M226" s="9"/>
    </row>
    <row r="227" s="1" customFormat="1" ht="20.1" customHeight="1" spans="1:13">
      <c r="A227" s="4" t="str">
        <f>"37502022022723393621191"</f>
        <v>37502022022723393621191</v>
      </c>
      <c r="B227" s="4" t="s">
        <v>191</v>
      </c>
      <c r="C227" s="4" t="s">
        <v>242</v>
      </c>
      <c r="D227" s="4" t="str">
        <f>"20220030911"</f>
        <v>20220030911</v>
      </c>
      <c r="E227" s="4" t="str">
        <f>"09"</f>
        <v>09</v>
      </c>
      <c r="F227" s="4" t="str">
        <f>"11"</f>
        <v>11</v>
      </c>
      <c r="G227" s="5">
        <v>58.91</v>
      </c>
      <c r="H227" s="5" t="s">
        <v>14</v>
      </c>
      <c r="I227" s="5">
        <v>61.7</v>
      </c>
      <c r="J227" s="5" t="s">
        <v>14</v>
      </c>
      <c r="K227" s="7">
        <v>60.86</v>
      </c>
      <c r="L227" s="8">
        <v>51</v>
      </c>
      <c r="M227" s="9"/>
    </row>
    <row r="228" s="1" customFormat="1" ht="20.1" customHeight="1" spans="1:13">
      <c r="A228" s="4" t="str">
        <f>"37502022022713014820134"</f>
        <v>37502022022713014820134</v>
      </c>
      <c r="B228" s="4" t="s">
        <v>191</v>
      </c>
      <c r="C228" s="4" t="s">
        <v>243</v>
      </c>
      <c r="D228" s="4" t="str">
        <f>"20220030719"</f>
        <v>20220030719</v>
      </c>
      <c r="E228" s="4" t="str">
        <f>"07"</f>
        <v>07</v>
      </c>
      <c r="F228" s="4" t="str">
        <f>"19"</f>
        <v>19</v>
      </c>
      <c r="G228" s="5">
        <v>49.8</v>
      </c>
      <c r="H228" s="5" t="s">
        <v>14</v>
      </c>
      <c r="I228" s="5">
        <v>62.3</v>
      </c>
      <c r="J228" s="5" t="s">
        <v>14</v>
      </c>
      <c r="K228" s="7">
        <v>58.55</v>
      </c>
      <c r="L228" s="8">
        <v>52</v>
      </c>
      <c r="M228" s="9"/>
    </row>
    <row r="229" s="1" customFormat="1" ht="20.1" customHeight="1" spans="1:13">
      <c r="A229" s="4" t="str">
        <f>"37502022030216362025546"</f>
        <v>37502022030216362025546</v>
      </c>
      <c r="B229" s="4" t="s">
        <v>191</v>
      </c>
      <c r="C229" s="4" t="s">
        <v>244</v>
      </c>
      <c r="D229" s="4" t="str">
        <f>"20220030722"</f>
        <v>20220030722</v>
      </c>
      <c r="E229" s="4" t="str">
        <f>"07"</f>
        <v>07</v>
      </c>
      <c r="F229" s="4" t="str">
        <f>"22"</f>
        <v>22</v>
      </c>
      <c r="G229" s="5">
        <v>62.26</v>
      </c>
      <c r="H229" s="5" t="s">
        <v>14</v>
      </c>
      <c r="I229" s="5">
        <v>55</v>
      </c>
      <c r="J229" s="5" t="s">
        <v>14</v>
      </c>
      <c r="K229" s="7">
        <v>57.18</v>
      </c>
      <c r="L229" s="8">
        <v>53</v>
      </c>
      <c r="M229" s="9"/>
    </row>
    <row r="230" s="1" customFormat="1" ht="20.1" customHeight="1" spans="1:13">
      <c r="A230" s="4" t="str">
        <f>"37502022022609411318764"</f>
        <v>37502022022609411318764</v>
      </c>
      <c r="B230" s="4" t="s">
        <v>191</v>
      </c>
      <c r="C230" s="4" t="s">
        <v>245</v>
      </c>
      <c r="D230" s="4" t="str">
        <f>"20220030816"</f>
        <v>20220030816</v>
      </c>
      <c r="E230" s="4" t="str">
        <f t="shared" ref="E230:E233" si="43">"08"</f>
        <v>08</v>
      </c>
      <c r="F230" s="4" t="str">
        <f>"16"</f>
        <v>16</v>
      </c>
      <c r="G230" s="5">
        <v>0</v>
      </c>
      <c r="H230" s="5" t="s">
        <v>74</v>
      </c>
      <c r="I230" s="5">
        <v>0</v>
      </c>
      <c r="J230" s="5" t="s">
        <v>74</v>
      </c>
      <c r="K230" s="7">
        <v>0</v>
      </c>
      <c r="L230" s="8">
        <v>54</v>
      </c>
      <c r="M230" s="9"/>
    </row>
    <row r="231" s="1" customFormat="1" ht="20.1" customHeight="1" spans="1:13">
      <c r="A231" s="4" t="str">
        <f>"37502022022609555118806"</f>
        <v>37502022022609555118806</v>
      </c>
      <c r="B231" s="4" t="s">
        <v>191</v>
      </c>
      <c r="C231" s="4" t="s">
        <v>246</v>
      </c>
      <c r="D231" s="4" t="str">
        <f>"20220030814"</f>
        <v>20220030814</v>
      </c>
      <c r="E231" s="4" t="str">
        <f t="shared" si="43"/>
        <v>08</v>
      </c>
      <c r="F231" s="4" t="str">
        <f>"14"</f>
        <v>14</v>
      </c>
      <c r="G231" s="5">
        <v>0</v>
      </c>
      <c r="H231" s="5" t="s">
        <v>74</v>
      </c>
      <c r="I231" s="5">
        <v>0</v>
      </c>
      <c r="J231" s="5" t="s">
        <v>74</v>
      </c>
      <c r="K231" s="7">
        <v>0</v>
      </c>
      <c r="L231" s="8">
        <v>54</v>
      </c>
      <c r="M231" s="9"/>
    </row>
    <row r="232" s="1" customFormat="1" ht="20.1" customHeight="1" spans="1:13">
      <c r="A232" s="4" t="str">
        <f>"37502022022610043318820"</f>
        <v>37502022022610043318820</v>
      </c>
      <c r="B232" s="4" t="s">
        <v>191</v>
      </c>
      <c r="C232" s="4" t="s">
        <v>247</v>
      </c>
      <c r="D232" s="4" t="str">
        <f>"20220030811"</f>
        <v>20220030811</v>
      </c>
      <c r="E232" s="4" t="str">
        <f t="shared" si="43"/>
        <v>08</v>
      </c>
      <c r="F232" s="4" t="str">
        <f>"11"</f>
        <v>11</v>
      </c>
      <c r="G232" s="5">
        <v>0</v>
      </c>
      <c r="H232" s="5" t="s">
        <v>74</v>
      </c>
      <c r="I232" s="5">
        <v>0</v>
      </c>
      <c r="J232" s="5" t="s">
        <v>74</v>
      </c>
      <c r="K232" s="7">
        <v>0</v>
      </c>
      <c r="L232" s="8">
        <v>54</v>
      </c>
      <c r="M232" s="9"/>
    </row>
    <row r="233" s="1" customFormat="1" ht="20.1" customHeight="1" spans="1:13">
      <c r="A233" s="4" t="str">
        <f>"37502022022612262519086"</f>
        <v>37502022022612262519086</v>
      </c>
      <c r="B233" s="4" t="s">
        <v>191</v>
      </c>
      <c r="C233" s="4" t="s">
        <v>248</v>
      </c>
      <c r="D233" s="4" t="str">
        <f>"20220030815"</f>
        <v>20220030815</v>
      </c>
      <c r="E233" s="4" t="str">
        <f t="shared" si="43"/>
        <v>08</v>
      </c>
      <c r="F233" s="4" t="str">
        <f>"15"</f>
        <v>15</v>
      </c>
      <c r="G233" s="5">
        <v>0</v>
      </c>
      <c r="H233" s="5" t="s">
        <v>74</v>
      </c>
      <c r="I233" s="5">
        <v>0</v>
      </c>
      <c r="J233" s="5" t="s">
        <v>74</v>
      </c>
      <c r="K233" s="7">
        <v>0</v>
      </c>
      <c r="L233" s="8">
        <v>54</v>
      </c>
      <c r="M233" s="9"/>
    </row>
    <row r="234" s="1" customFormat="1" ht="20.1" customHeight="1" spans="1:13">
      <c r="A234" s="4" t="str">
        <f>"37502022022617301019452"</f>
        <v>37502022022617301019452</v>
      </c>
      <c r="B234" s="4" t="s">
        <v>191</v>
      </c>
      <c r="C234" s="4" t="s">
        <v>249</v>
      </c>
      <c r="D234" s="4" t="str">
        <f>"20220030704"</f>
        <v>20220030704</v>
      </c>
      <c r="E234" s="4" t="str">
        <f t="shared" ref="E234:E237" si="44">"07"</f>
        <v>07</v>
      </c>
      <c r="F234" s="4" t="str">
        <f>"04"</f>
        <v>04</v>
      </c>
      <c r="G234" s="5">
        <v>0</v>
      </c>
      <c r="H234" s="5" t="s">
        <v>74</v>
      </c>
      <c r="I234" s="5">
        <v>0</v>
      </c>
      <c r="J234" s="5" t="s">
        <v>74</v>
      </c>
      <c r="K234" s="7">
        <v>0</v>
      </c>
      <c r="L234" s="8">
        <v>54</v>
      </c>
      <c r="M234" s="9"/>
    </row>
    <row r="235" s="1" customFormat="1" ht="20.1" customHeight="1" spans="1:13">
      <c r="A235" s="4" t="str">
        <f>"37502022022715321920348"</f>
        <v>37502022022715321920348</v>
      </c>
      <c r="B235" s="4" t="s">
        <v>191</v>
      </c>
      <c r="C235" s="4" t="s">
        <v>250</v>
      </c>
      <c r="D235" s="4" t="str">
        <f>"20220030705"</f>
        <v>20220030705</v>
      </c>
      <c r="E235" s="4" t="str">
        <f t="shared" si="44"/>
        <v>07</v>
      </c>
      <c r="F235" s="4" t="str">
        <f>"05"</f>
        <v>05</v>
      </c>
      <c r="G235" s="5">
        <v>0</v>
      </c>
      <c r="H235" s="5" t="s">
        <v>74</v>
      </c>
      <c r="I235" s="5">
        <v>0</v>
      </c>
      <c r="J235" s="5" t="s">
        <v>74</v>
      </c>
      <c r="K235" s="7">
        <v>0</v>
      </c>
      <c r="L235" s="8">
        <v>54</v>
      </c>
      <c r="M235" s="9"/>
    </row>
    <row r="236" s="1" customFormat="1" ht="20.1" customHeight="1" spans="1:13">
      <c r="A236" s="4" t="str">
        <f>"37502022022717103120506"</f>
        <v>37502022022717103120506</v>
      </c>
      <c r="B236" s="4" t="s">
        <v>191</v>
      </c>
      <c r="C236" s="4" t="s">
        <v>251</v>
      </c>
      <c r="D236" s="4" t="str">
        <f>"20220030725"</f>
        <v>20220030725</v>
      </c>
      <c r="E236" s="4" t="str">
        <f t="shared" si="44"/>
        <v>07</v>
      </c>
      <c r="F236" s="4" t="str">
        <f>"25"</f>
        <v>25</v>
      </c>
      <c r="G236" s="5">
        <v>0</v>
      </c>
      <c r="H236" s="5" t="s">
        <v>74</v>
      </c>
      <c r="I236" s="5">
        <v>0</v>
      </c>
      <c r="J236" s="5" t="s">
        <v>74</v>
      </c>
      <c r="K236" s="7">
        <v>0</v>
      </c>
      <c r="L236" s="8">
        <v>54</v>
      </c>
      <c r="M236" s="9"/>
    </row>
    <row r="237" s="1" customFormat="1" ht="20.1" customHeight="1" spans="1:13">
      <c r="A237" s="4" t="str">
        <f>"37502022022718201020579"</f>
        <v>37502022022718201020579</v>
      </c>
      <c r="B237" s="4" t="s">
        <v>191</v>
      </c>
      <c r="C237" s="4" t="s">
        <v>252</v>
      </c>
      <c r="D237" s="4" t="str">
        <f>"20220030728"</f>
        <v>20220030728</v>
      </c>
      <c r="E237" s="4" t="str">
        <f t="shared" si="44"/>
        <v>07</v>
      </c>
      <c r="F237" s="4" t="str">
        <f>"28"</f>
        <v>28</v>
      </c>
      <c r="G237" s="5">
        <v>0</v>
      </c>
      <c r="H237" s="5" t="s">
        <v>74</v>
      </c>
      <c r="I237" s="5">
        <v>0</v>
      </c>
      <c r="J237" s="5" t="s">
        <v>74</v>
      </c>
      <c r="K237" s="7">
        <v>0</v>
      </c>
      <c r="L237" s="8">
        <v>54</v>
      </c>
      <c r="M237" s="9"/>
    </row>
    <row r="238" s="1" customFormat="1" ht="20.1" customHeight="1" spans="1:13">
      <c r="A238" s="4" t="str">
        <f>"37502022022807584621280"</f>
        <v>37502022022807584621280</v>
      </c>
      <c r="B238" s="4" t="s">
        <v>191</v>
      </c>
      <c r="C238" s="4" t="s">
        <v>253</v>
      </c>
      <c r="D238" s="4" t="str">
        <f>"20220030910"</f>
        <v>20220030910</v>
      </c>
      <c r="E238" s="4" t="str">
        <f>"09"</f>
        <v>09</v>
      </c>
      <c r="F238" s="4" t="str">
        <f>"10"</f>
        <v>10</v>
      </c>
      <c r="G238" s="5">
        <v>0</v>
      </c>
      <c r="H238" s="5" t="s">
        <v>74</v>
      </c>
      <c r="I238" s="5">
        <v>0</v>
      </c>
      <c r="J238" s="5" t="s">
        <v>74</v>
      </c>
      <c r="K238" s="7">
        <v>0</v>
      </c>
      <c r="L238" s="8">
        <v>54</v>
      </c>
      <c r="M238" s="9"/>
    </row>
    <row r="239" s="1" customFormat="1" ht="20.1" customHeight="1" spans="1:13">
      <c r="A239" s="4" t="str">
        <f>"37502022022808282921322"</f>
        <v>37502022022808282921322</v>
      </c>
      <c r="B239" s="4" t="s">
        <v>191</v>
      </c>
      <c r="C239" s="4" t="s">
        <v>254</v>
      </c>
      <c r="D239" s="4" t="str">
        <f>"20220030824"</f>
        <v>20220030824</v>
      </c>
      <c r="E239" s="4" t="str">
        <f>"08"</f>
        <v>08</v>
      </c>
      <c r="F239" s="4" t="str">
        <f>"24"</f>
        <v>24</v>
      </c>
      <c r="G239" s="5">
        <v>0</v>
      </c>
      <c r="H239" s="5" t="s">
        <v>74</v>
      </c>
      <c r="I239" s="5">
        <v>0</v>
      </c>
      <c r="J239" s="5" t="s">
        <v>74</v>
      </c>
      <c r="K239" s="7">
        <v>0</v>
      </c>
      <c r="L239" s="8">
        <v>54</v>
      </c>
      <c r="M239" s="9"/>
    </row>
    <row r="240" s="1" customFormat="1" ht="20.1" customHeight="1" spans="1:13">
      <c r="A240" s="4" t="str">
        <f>"37502022022816500622745"</f>
        <v>37502022022816500622745</v>
      </c>
      <c r="B240" s="4" t="s">
        <v>191</v>
      </c>
      <c r="C240" s="4" t="s">
        <v>255</v>
      </c>
      <c r="D240" s="4" t="str">
        <f>"20220030821"</f>
        <v>20220030821</v>
      </c>
      <c r="E240" s="4" t="str">
        <f>"08"</f>
        <v>08</v>
      </c>
      <c r="F240" s="4" t="str">
        <f>"21"</f>
        <v>21</v>
      </c>
      <c r="G240" s="5">
        <v>0</v>
      </c>
      <c r="H240" s="5" t="s">
        <v>74</v>
      </c>
      <c r="I240" s="5">
        <v>0</v>
      </c>
      <c r="J240" s="5" t="s">
        <v>74</v>
      </c>
      <c r="K240" s="7">
        <v>0</v>
      </c>
      <c r="L240" s="8">
        <v>54</v>
      </c>
      <c r="M240" s="9"/>
    </row>
    <row r="241" s="1" customFormat="1" ht="20.1" customHeight="1" spans="1:13">
      <c r="A241" s="4" t="str">
        <f>"37502022022820555422982"</f>
        <v>37502022022820555422982</v>
      </c>
      <c r="B241" s="4" t="s">
        <v>191</v>
      </c>
      <c r="C241" s="4" t="s">
        <v>256</v>
      </c>
      <c r="D241" s="4" t="str">
        <f>"20220030701"</f>
        <v>20220030701</v>
      </c>
      <c r="E241" s="4" t="str">
        <f t="shared" ref="E241:E244" si="45">"07"</f>
        <v>07</v>
      </c>
      <c r="F241" s="4" t="str">
        <f>"01"</f>
        <v>01</v>
      </c>
      <c r="G241" s="5">
        <v>0</v>
      </c>
      <c r="H241" s="5" t="s">
        <v>74</v>
      </c>
      <c r="I241" s="5">
        <v>0</v>
      </c>
      <c r="J241" s="5" t="s">
        <v>74</v>
      </c>
      <c r="K241" s="7">
        <v>0</v>
      </c>
      <c r="L241" s="8">
        <v>54</v>
      </c>
      <c r="M241" s="9"/>
    </row>
    <row r="242" s="1" customFormat="1" ht="20.1" customHeight="1" spans="1:13">
      <c r="A242" s="4" t="str">
        <f>"37502022030109234023232"</f>
        <v>37502022030109234023232</v>
      </c>
      <c r="B242" s="4" t="s">
        <v>191</v>
      </c>
      <c r="C242" s="4" t="s">
        <v>257</v>
      </c>
      <c r="D242" s="4" t="str">
        <f>"20220030726"</f>
        <v>20220030726</v>
      </c>
      <c r="E242" s="4" t="str">
        <f t="shared" si="45"/>
        <v>07</v>
      </c>
      <c r="F242" s="4" t="str">
        <f>"26"</f>
        <v>26</v>
      </c>
      <c r="G242" s="5">
        <v>0</v>
      </c>
      <c r="H242" s="5" t="s">
        <v>74</v>
      </c>
      <c r="I242" s="5">
        <v>0</v>
      </c>
      <c r="J242" s="5" t="s">
        <v>74</v>
      </c>
      <c r="K242" s="7">
        <v>0</v>
      </c>
      <c r="L242" s="8">
        <v>54</v>
      </c>
      <c r="M242" s="9"/>
    </row>
    <row r="243" s="1" customFormat="1" ht="20.1" customHeight="1" spans="1:13">
      <c r="A243" s="4" t="str">
        <f>"37502022030109310323249"</f>
        <v>37502022030109310323249</v>
      </c>
      <c r="B243" s="4" t="s">
        <v>191</v>
      </c>
      <c r="C243" s="4" t="s">
        <v>258</v>
      </c>
      <c r="D243" s="4" t="str">
        <f>"20220030908"</f>
        <v>20220030908</v>
      </c>
      <c r="E243" s="4" t="str">
        <f>"09"</f>
        <v>09</v>
      </c>
      <c r="F243" s="4" t="str">
        <f>"08"</f>
        <v>08</v>
      </c>
      <c r="G243" s="5">
        <v>0</v>
      </c>
      <c r="H243" s="5" t="s">
        <v>74</v>
      </c>
      <c r="I243" s="5">
        <v>0</v>
      </c>
      <c r="J243" s="5" t="s">
        <v>74</v>
      </c>
      <c r="K243" s="7">
        <v>0</v>
      </c>
      <c r="L243" s="8">
        <v>54</v>
      </c>
      <c r="M243" s="9"/>
    </row>
    <row r="244" s="1" customFormat="1" ht="20.1" customHeight="1" spans="1:13">
      <c r="A244" s="4" t="str">
        <f>"37502022030119322524366"</f>
        <v>37502022030119322524366</v>
      </c>
      <c r="B244" s="4" t="s">
        <v>191</v>
      </c>
      <c r="C244" s="4" t="s">
        <v>259</v>
      </c>
      <c r="D244" s="4" t="str">
        <f>"20220030721"</f>
        <v>20220030721</v>
      </c>
      <c r="E244" s="4" t="str">
        <f t="shared" si="45"/>
        <v>07</v>
      </c>
      <c r="F244" s="4" t="str">
        <f>"21"</f>
        <v>21</v>
      </c>
      <c r="G244" s="5">
        <v>0</v>
      </c>
      <c r="H244" s="5" t="s">
        <v>74</v>
      </c>
      <c r="I244" s="5">
        <v>0</v>
      </c>
      <c r="J244" s="5" t="s">
        <v>74</v>
      </c>
      <c r="K244" s="7">
        <v>0</v>
      </c>
      <c r="L244" s="8">
        <v>54</v>
      </c>
      <c r="M244" s="9"/>
    </row>
    <row r="245" s="1" customFormat="1" ht="20.1" customHeight="1" spans="1:13">
      <c r="A245" s="4" t="str">
        <f>"37502022030121234124573"</f>
        <v>37502022030121234124573</v>
      </c>
      <c r="B245" s="4" t="s">
        <v>191</v>
      </c>
      <c r="C245" s="4" t="s">
        <v>260</v>
      </c>
      <c r="D245" s="4" t="str">
        <f>"20220030802"</f>
        <v>20220030802</v>
      </c>
      <c r="E245" s="4" t="str">
        <f t="shared" ref="E245:E248" si="46">"08"</f>
        <v>08</v>
      </c>
      <c r="F245" s="4" t="str">
        <f>"02"</f>
        <v>02</v>
      </c>
      <c r="G245" s="5">
        <v>0</v>
      </c>
      <c r="H245" s="5" t="s">
        <v>74</v>
      </c>
      <c r="I245" s="5">
        <v>0</v>
      </c>
      <c r="J245" s="5" t="s">
        <v>74</v>
      </c>
      <c r="K245" s="7">
        <v>0</v>
      </c>
      <c r="L245" s="8">
        <v>54</v>
      </c>
      <c r="M245" s="9"/>
    </row>
    <row r="246" s="1" customFormat="1" ht="20.1" customHeight="1" spans="1:13">
      <c r="A246" s="4" t="str">
        <f>"37502022030121473924622"</f>
        <v>37502022030121473924622</v>
      </c>
      <c r="B246" s="4" t="s">
        <v>191</v>
      </c>
      <c r="C246" s="4" t="s">
        <v>261</v>
      </c>
      <c r="D246" s="4" t="str">
        <f>"20220030827"</f>
        <v>20220030827</v>
      </c>
      <c r="E246" s="4" t="str">
        <f t="shared" si="46"/>
        <v>08</v>
      </c>
      <c r="F246" s="4" t="str">
        <f>"27"</f>
        <v>27</v>
      </c>
      <c r="G246" s="5">
        <v>0</v>
      </c>
      <c r="H246" s="5" t="s">
        <v>74</v>
      </c>
      <c r="I246" s="5">
        <v>0</v>
      </c>
      <c r="J246" s="5" t="s">
        <v>74</v>
      </c>
      <c r="K246" s="7">
        <v>0</v>
      </c>
      <c r="L246" s="8">
        <v>54</v>
      </c>
      <c r="M246" s="9"/>
    </row>
    <row r="247" s="1" customFormat="1" ht="20.1" customHeight="1" spans="1:13">
      <c r="A247" s="4" t="str">
        <f>"37502022030121581324638"</f>
        <v>37502022030121581324638</v>
      </c>
      <c r="B247" s="4" t="s">
        <v>191</v>
      </c>
      <c r="C247" s="4" t="s">
        <v>262</v>
      </c>
      <c r="D247" s="4" t="str">
        <f>"20220030817"</f>
        <v>20220030817</v>
      </c>
      <c r="E247" s="4" t="str">
        <f t="shared" si="46"/>
        <v>08</v>
      </c>
      <c r="F247" s="4" t="str">
        <f>"17"</f>
        <v>17</v>
      </c>
      <c r="G247" s="5">
        <v>0</v>
      </c>
      <c r="H247" s="5" t="s">
        <v>74</v>
      </c>
      <c r="I247" s="5">
        <v>0</v>
      </c>
      <c r="J247" s="5" t="s">
        <v>74</v>
      </c>
      <c r="K247" s="7">
        <v>0</v>
      </c>
      <c r="L247" s="8">
        <v>54</v>
      </c>
      <c r="M247" s="9"/>
    </row>
    <row r="248" s="1" customFormat="1" ht="20.1" customHeight="1" spans="1:13">
      <c r="A248" s="4" t="str">
        <f>"37502022030212061025179"</f>
        <v>37502022030212061025179</v>
      </c>
      <c r="B248" s="4" t="s">
        <v>191</v>
      </c>
      <c r="C248" s="4" t="s">
        <v>263</v>
      </c>
      <c r="D248" s="4" t="str">
        <f>"20220030805"</f>
        <v>20220030805</v>
      </c>
      <c r="E248" s="4" t="str">
        <f t="shared" si="46"/>
        <v>08</v>
      </c>
      <c r="F248" s="4" t="str">
        <f>"05"</f>
        <v>05</v>
      </c>
      <c r="G248" s="5">
        <v>0</v>
      </c>
      <c r="H248" s="5" t="s">
        <v>74</v>
      </c>
      <c r="I248" s="5">
        <v>0</v>
      </c>
      <c r="J248" s="5" t="s">
        <v>74</v>
      </c>
      <c r="K248" s="7">
        <v>0</v>
      </c>
      <c r="L248" s="8">
        <v>54</v>
      </c>
      <c r="M248" s="9"/>
    </row>
    <row r="249" s="1" customFormat="1" ht="20.1" customHeight="1" spans="1:13">
      <c r="A249" s="4" t="str">
        <f>"37502022030212362325215"</f>
        <v>37502022030212362325215</v>
      </c>
      <c r="B249" s="4" t="s">
        <v>191</v>
      </c>
      <c r="C249" s="4" t="s">
        <v>264</v>
      </c>
      <c r="D249" s="4" t="str">
        <f>"20220030629"</f>
        <v>20220030629</v>
      </c>
      <c r="E249" s="4" t="str">
        <f>"06"</f>
        <v>06</v>
      </c>
      <c r="F249" s="4" t="str">
        <f>"29"</f>
        <v>29</v>
      </c>
      <c r="G249" s="5">
        <v>0</v>
      </c>
      <c r="H249" s="5" t="s">
        <v>74</v>
      </c>
      <c r="I249" s="5">
        <v>0</v>
      </c>
      <c r="J249" s="5" t="s">
        <v>74</v>
      </c>
      <c r="K249" s="7">
        <v>0</v>
      </c>
      <c r="L249" s="8">
        <v>54</v>
      </c>
      <c r="M249" s="9"/>
    </row>
    <row r="250" s="1" customFormat="1" ht="20.1" customHeight="1" spans="1:13">
      <c r="A250" s="4" t="str">
        <f>"37502022030213093425276"</f>
        <v>37502022030213093425276</v>
      </c>
      <c r="B250" s="4" t="s">
        <v>191</v>
      </c>
      <c r="C250" s="4" t="s">
        <v>265</v>
      </c>
      <c r="D250" s="4" t="str">
        <f>"20220030806"</f>
        <v>20220030806</v>
      </c>
      <c r="E250" s="4" t="str">
        <f>"08"</f>
        <v>08</v>
      </c>
      <c r="F250" s="4" t="str">
        <f>"06"</f>
        <v>06</v>
      </c>
      <c r="G250" s="5">
        <v>0</v>
      </c>
      <c r="H250" s="5" t="s">
        <v>74</v>
      </c>
      <c r="I250" s="5">
        <v>0</v>
      </c>
      <c r="J250" s="5" t="s">
        <v>74</v>
      </c>
      <c r="K250" s="7">
        <v>0</v>
      </c>
      <c r="L250" s="8">
        <v>54</v>
      </c>
      <c r="M250" s="9"/>
    </row>
    <row r="251" s="1" customFormat="1" ht="20.1" customHeight="1" spans="1:13">
      <c r="A251" s="4" t="str">
        <f>"37502022030213512125333"</f>
        <v>37502022030213512125333</v>
      </c>
      <c r="B251" s="4" t="s">
        <v>191</v>
      </c>
      <c r="C251" s="4" t="s">
        <v>266</v>
      </c>
      <c r="D251" s="4" t="str">
        <f>"20220030909"</f>
        <v>20220030909</v>
      </c>
      <c r="E251" s="4" t="str">
        <f>"09"</f>
        <v>09</v>
      </c>
      <c r="F251" s="4" t="str">
        <f>"09"</f>
        <v>09</v>
      </c>
      <c r="G251" s="5">
        <v>0</v>
      </c>
      <c r="H251" s="5" t="s">
        <v>74</v>
      </c>
      <c r="I251" s="5">
        <v>0</v>
      </c>
      <c r="J251" s="5" t="s">
        <v>74</v>
      </c>
      <c r="K251" s="7">
        <v>0</v>
      </c>
      <c r="L251" s="8">
        <v>54</v>
      </c>
      <c r="M251" s="9"/>
    </row>
    <row r="252" s="1" customFormat="1" ht="20.1" customHeight="1" spans="1:13">
      <c r="A252" s="4" t="str">
        <f>"37502022030215050725446"</f>
        <v>37502022030215050725446</v>
      </c>
      <c r="B252" s="4" t="s">
        <v>191</v>
      </c>
      <c r="C252" s="4" t="s">
        <v>267</v>
      </c>
      <c r="D252" s="4" t="str">
        <f>"20220030907"</f>
        <v>20220030907</v>
      </c>
      <c r="E252" s="4" t="str">
        <f>"09"</f>
        <v>09</v>
      </c>
      <c r="F252" s="4" t="str">
        <f>"07"</f>
        <v>07</v>
      </c>
      <c r="G252" s="5">
        <v>0</v>
      </c>
      <c r="H252" s="5" t="s">
        <v>74</v>
      </c>
      <c r="I252" s="5">
        <v>0</v>
      </c>
      <c r="J252" s="5" t="s">
        <v>74</v>
      </c>
      <c r="K252" s="7">
        <v>0</v>
      </c>
      <c r="L252" s="8">
        <v>54</v>
      </c>
      <c r="M252" s="9"/>
    </row>
    <row r="253" s="1" customFormat="1" ht="20.1" customHeight="1" spans="1:13">
      <c r="A253" s="4" t="str">
        <f>"37502022030217255125619"</f>
        <v>37502022030217255125619</v>
      </c>
      <c r="B253" s="4" t="s">
        <v>191</v>
      </c>
      <c r="C253" s="4" t="s">
        <v>268</v>
      </c>
      <c r="D253" s="4" t="str">
        <f>"20220030716"</f>
        <v>20220030716</v>
      </c>
      <c r="E253" s="4" t="str">
        <f>"07"</f>
        <v>07</v>
      </c>
      <c r="F253" s="4" t="str">
        <f>"16"</f>
        <v>16</v>
      </c>
      <c r="G253" s="5">
        <v>0</v>
      </c>
      <c r="H253" s="5" t="s">
        <v>74</v>
      </c>
      <c r="I253" s="5">
        <v>0</v>
      </c>
      <c r="J253" s="5" t="s">
        <v>74</v>
      </c>
      <c r="K253" s="7">
        <v>0</v>
      </c>
      <c r="L253" s="8">
        <v>54</v>
      </c>
      <c r="M253" s="9"/>
    </row>
    <row r="254" s="1" customFormat="1" ht="20.1" customHeight="1" spans="1:13">
      <c r="A254" s="4" t="str">
        <f>"37502022030218163325693"</f>
        <v>37502022030218163325693</v>
      </c>
      <c r="B254" s="4" t="s">
        <v>191</v>
      </c>
      <c r="C254" s="4" t="s">
        <v>269</v>
      </c>
      <c r="D254" s="4" t="str">
        <f>"20220030712"</f>
        <v>20220030712</v>
      </c>
      <c r="E254" s="4" t="str">
        <f>"07"</f>
        <v>07</v>
      </c>
      <c r="F254" s="4" t="str">
        <f>"12"</f>
        <v>12</v>
      </c>
      <c r="G254" s="5">
        <v>0</v>
      </c>
      <c r="H254" s="5" t="s">
        <v>74</v>
      </c>
      <c r="I254" s="5">
        <v>0</v>
      </c>
      <c r="J254" s="5" t="s">
        <v>74</v>
      </c>
      <c r="K254" s="7">
        <v>0</v>
      </c>
      <c r="L254" s="8">
        <v>54</v>
      </c>
      <c r="M254" s="9"/>
    </row>
    <row r="255" s="1" customFormat="1" ht="20.1" customHeight="1" spans="1:13">
      <c r="A255" s="4" t="str">
        <f>"37502022022711444920041"</f>
        <v>37502022022711444920041</v>
      </c>
      <c r="B255" s="4" t="s">
        <v>270</v>
      </c>
      <c r="C255" s="4" t="s">
        <v>271</v>
      </c>
      <c r="D255" s="4" t="str">
        <f>"20220041113"</f>
        <v>20220041113</v>
      </c>
      <c r="E255" s="4" t="str">
        <f t="shared" ref="E255:E260" si="47">"11"</f>
        <v>11</v>
      </c>
      <c r="F255" s="4" t="str">
        <f>"13"</f>
        <v>13</v>
      </c>
      <c r="G255" s="5">
        <v>84.43</v>
      </c>
      <c r="H255" s="5" t="s">
        <v>14</v>
      </c>
      <c r="I255" s="5">
        <v>86.9</v>
      </c>
      <c r="J255" s="5" t="s">
        <v>14</v>
      </c>
      <c r="K255" s="7">
        <v>86.16</v>
      </c>
      <c r="L255" s="8">
        <v>1</v>
      </c>
      <c r="M255" s="9"/>
    </row>
    <row r="256" s="1" customFormat="1" ht="20.1" customHeight="1" spans="1:13">
      <c r="A256" s="4" t="str">
        <f>"37502022022610185118896"</f>
        <v>37502022022610185118896</v>
      </c>
      <c r="B256" s="4" t="s">
        <v>270</v>
      </c>
      <c r="C256" s="4" t="s">
        <v>272</v>
      </c>
      <c r="D256" s="4" t="str">
        <f>"20220041023"</f>
        <v>20220041023</v>
      </c>
      <c r="E256" s="4" t="str">
        <f>"10"</f>
        <v>10</v>
      </c>
      <c r="F256" s="4" t="str">
        <f>"23"</f>
        <v>23</v>
      </c>
      <c r="G256" s="5">
        <v>84.13</v>
      </c>
      <c r="H256" s="5" t="s">
        <v>14</v>
      </c>
      <c r="I256" s="5">
        <v>84.7</v>
      </c>
      <c r="J256" s="5" t="s">
        <v>14</v>
      </c>
      <c r="K256" s="7">
        <v>84.53</v>
      </c>
      <c r="L256" s="8">
        <v>2</v>
      </c>
      <c r="M256" s="9"/>
    </row>
    <row r="257" s="1" customFormat="1" ht="20.1" customHeight="1" spans="1:13">
      <c r="A257" s="4" t="str">
        <f>"37502022022609422518775"</f>
        <v>37502022022609422518775</v>
      </c>
      <c r="B257" s="4" t="s">
        <v>270</v>
      </c>
      <c r="C257" s="4" t="s">
        <v>273</v>
      </c>
      <c r="D257" s="4" t="str">
        <f>"20220041109"</f>
        <v>20220041109</v>
      </c>
      <c r="E257" s="4" t="str">
        <f t="shared" si="47"/>
        <v>11</v>
      </c>
      <c r="F257" s="4" t="str">
        <f>"09"</f>
        <v>09</v>
      </c>
      <c r="G257" s="5">
        <v>76.92</v>
      </c>
      <c r="H257" s="5" t="s">
        <v>14</v>
      </c>
      <c r="I257" s="5">
        <v>84.9</v>
      </c>
      <c r="J257" s="5" t="s">
        <v>14</v>
      </c>
      <c r="K257" s="7">
        <v>82.51</v>
      </c>
      <c r="L257" s="8">
        <v>3</v>
      </c>
      <c r="M257" s="9"/>
    </row>
    <row r="258" s="1" customFormat="1" ht="20.1" customHeight="1" spans="1:13">
      <c r="A258" s="4" t="str">
        <f>"37502022022612383119107"</f>
        <v>37502022022612383119107</v>
      </c>
      <c r="B258" s="4" t="s">
        <v>270</v>
      </c>
      <c r="C258" s="4" t="s">
        <v>274</v>
      </c>
      <c r="D258" s="4" t="str">
        <f>"20220041127"</f>
        <v>20220041127</v>
      </c>
      <c r="E258" s="4" t="str">
        <f t="shared" si="47"/>
        <v>11</v>
      </c>
      <c r="F258" s="4" t="str">
        <f>"27"</f>
        <v>27</v>
      </c>
      <c r="G258" s="5">
        <v>80.76</v>
      </c>
      <c r="H258" s="5" t="s">
        <v>14</v>
      </c>
      <c r="I258" s="5">
        <v>83.2</v>
      </c>
      <c r="J258" s="5" t="s">
        <v>14</v>
      </c>
      <c r="K258" s="7">
        <v>82.47</v>
      </c>
      <c r="L258" s="8">
        <v>4</v>
      </c>
      <c r="M258" s="9"/>
    </row>
    <row r="259" s="1" customFormat="1" ht="20.1" customHeight="1" spans="1:13">
      <c r="A259" s="4" t="str">
        <f>"37502022022610112718859"</f>
        <v>37502022022610112718859</v>
      </c>
      <c r="B259" s="4" t="s">
        <v>270</v>
      </c>
      <c r="C259" s="4" t="s">
        <v>275</v>
      </c>
      <c r="D259" s="4" t="str">
        <f>"20220041116"</f>
        <v>20220041116</v>
      </c>
      <c r="E259" s="4" t="str">
        <f t="shared" si="47"/>
        <v>11</v>
      </c>
      <c r="F259" s="4" t="str">
        <f>"16"</f>
        <v>16</v>
      </c>
      <c r="G259" s="5">
        <v>81.13</v>
      </c>
      <c r="H259" s="5" t="s">
        <v>14</v>
      </c>
      <c r="I259" s="5">
        <v>81.1</v>
      </c>
      <c r="J259" s="5" t="s">
        <v>14</v>
      </c>
      <c r="K259" s="7">
        <v>81.11</v>
      </c>
      <c r="L259" s="8">
        <v>5</v>
      </c>
      <c r="M259" s="9"/>
    </row>
    <row r="260" s="1" customFormat="1" ht="20.1" customHeight="1" spans="1:13">
      <c r="A260" s="4" t="str">
        <f>"37502022030109411523273"</f>
        <v>37502022030109411523273</v>
      </c>
      <c r="B260" s="4" t="s">
        <v>270</v>
      </c>
      <c r="C260" s="4" t="s">
        <v>276</v>
      </c>
      <c r="D260" s="4" t="str">
        <f>"20220041118"</f>
        <v>20220041118</v>
      </c>
      <c r="E260" s="4" t="str">
        <f t="shared" si="47"/>
        <v>11</v>
      </c>
      <c r="F260" s="4" t="str">
        <f>"18"</f>
        <v>18</v>
      </c>
      <c r="G260" s="5">
        <v>73.16</v>
      </c>
      <c r="H260" s="5" t="s">
        <v>14</v>
      </c>
      <c r="I260" s="5">
        <v>84.1</v>
      </c>
      <c r="J260" s="5" t="s">
        <v>14</v>
      </c>
      <c r="K260" s="7">
        <v>80.82</v>
      </c>
      <c r="L260" s="8">
        <v>6</v>
      </c>
      <c r="M260" s="9"/>
    </row>
    <row r="261" s="1" customFormat="1" ht="20.1" customHeight="1" spans="1:13">
      <c r="A261" s="4" t="str">
        <f>"37502022030111563523588"</f>
        <v>37502022030111563523588</v>
      </c>
      <c r="B261" s="4" t="s">
        <v>270</v>
      </c>
      <c r="C261" s="4" t="s">
        <v>277</v>
      </c>
      <c r="D261" s="4" t="str">
        <f>"20220040914"</f>
        <v>20220040914</v>
      </c>
      <c r="E261" s="4" t="str">
        <f t="shared" ref="E261:E266" si="48">"09"</f>
        <v>09</v>
      </c>
      <c r="F261" s="4" t="str">
        <f>"14"</f>
        <v>14</v>
      </c>
      <c r="G261" s="5">
        <v>79.89</v>
      </c>
      <c r="H261" s="5" t="s">
        <v>14</v>
      </c>
      <c r="I261" s="5">
        <v>81.1</v>
      </c>
      <c r="J261" s="5" t="s">
        <v>14</v>
      </c>
      <c r="K261" s="7">
        <v>80.74</v>
      </c>
      <c r="L261" s="8">
        <v>7</v>
      </c>
      <c r="M261" s="9"/>
    </row>
    <row r="262" s="1" customFormat="1" ht="20.1" customHeight="1" spans="1:13">
      <c r="A262" s="4" t="str">
        <f>"37502022022718284920588"</f>
        <v>37502022022718284920588</v>
      </c>
      <c r="B262" s="4" t="s">
        <v>270</v>
      </c>
      <c r="C262" s="4" t="s">
        <v>278</v>
      </c>
      <c r="D262" s="4" t="str">
        <f>"20220041010"</f>
        <v>20220041010</v>
      </c>
      <c r="E262" s="4" t="str">
        <f>"10"</f>
        <v>10</v>
      </c>
      <c r="F262" s="4" t="str">
        <f>"10"</f>
        <v>10</v>
      </c>
      <c r="G262" s="5">
        <v>71.28</v>
      </c>
      <c r="H262" s="5" t="s">
        <v>14</v>
      </c>
      <c r="I262" s="5">
        <v>84.6</v>
      </c>
      <c r="J262" s="5" t="s">
        <v>14</v>
      </c>
      <c r="K262" s="7">
        <v>80.6</v>
      </c>
      <c r="L262" s="8">
        <v>8</v>
      </c>
      <c r="M262" s="9"/>
    </row>
    <row r="263" s="1" customFormat="1" ht="20.1" customHeight="1" spans="1:13">
      <c r="A263" s="4" t="str">
        <f>"37502022022609552518804"</f>
        <v>37502022022609552518804</v>
      </c>
      <c r="B263" s="4" t="s">
        <v>270</v>
      </c>
      <c r="C263" s="4" t="s">
        <v>279</v>
      </c>
      <c r="D263" s="4" t="str">
        <f>"20220041207"</f>
        <v>20220041207</v>
      </c>
      <c r="E263" s="4" t="str">
        <f>"12"</f>
        <v>12</v>
      </c>
      <c r="F263" s="4" t="str">
        <f>"07"</f>
        <v>07</v>
      </c>
      <c r="G263" s="5">
        <v>75.31</v>
      </c>
      <c r="H263" s="5" t="s">
        <v>14</v>
      </c>
      <c r="I263" s="5">
        <v>81.9</v>
      </c>
      <c r="J263" s="5" t="s">
        <v>14</v>
      </c>
      <c r="K263" s="7">
        <v>79.92</v>
      </c>
      <c r="L263" s="8">
        <v>9</v>
      </c>
      <c r="M263" s="9"/>
    </row>
    <row r="264" s="1" customFormat="1" ht="20.1" customHeight="1" spans="1:13">
      <c r="A264" s="4" t="str">
        <f>"37502022022610115518862"</f>
        <v>37502022022610115518862</v>
      </c>
      <c r="B264" s="4" t="s">
        <v>270</v>
      </c>
      <c r="C264" s="4" t="s">
        <v>280</v>
      </c>
      <c r="D264" s="4" t="str">
        <f>"20220041110"</f>
        <v>20220041110</v>
      </c>
      <c r="E264" s="4" t="str">
        <f>"11"</f>
        <v>11</v>
      </c>
      <c r="F264" s="4" t="str">
        <f>"10"</f>
        <v>10</v>
      </c>
      <c r="G264" s="5">
        <v>72.92</v>
      </c>
      <c r="H264" s="5" t="s">
        <v>14</v>
      </c>
      <c r="I264" s="5">
        <v>82.3</v>
      </c>
      <c r="J264" s="5" t="s">
        <v>14</v>
      </c>
      <c r="K264" s="7">
        <v>79.49</v>
      </c>
      <c r="L264" s="8">
        <v>10</v>
      </c>
      <c r="M264" s="9"/>
    </row>
    <row r="265" s="1" customFormat="1" ht="20.1" customHeight="1" spans="1:13">
      <c r="A265" s="4" t="str">
        <f>"37502022030117552124174"</f>
        <v>37502022030117552124174</v>
      </c>
      <c r="B265" s="4" t="s">
        <v>270</v>
      </c>
      <c r="C265" s="4" t="s">
        <v>281</v>
      </c>
      <c r="D265" s="4" t="str">
        <f>"20220040924"</f>
        <v>20220040924</v>
      </c>
      <c r="E265" s="4" t="str">
        <f t="shared" si="48"/>
        <v>09</v>
      </c>
      <c r="F265" s="4" t="str">
        <f>"24"</f>
        <v>24</v>
      </c>
      <c r="G265" s="5">
        <v>79.37</v>
      </c>
      <c r="H265" s="5" t="s">
        <v>14</v>
      </c>
      <c r="I265" s="5">
        <v>79.1</v>
      </c>
      <c r="J265" s="5" t="s">
        <v>14</v>
      </c>
      <c r="K265" s="7">
        <v>79.18</v>
      </c>
      <c r="L265" s="8">
        <v>11</v>
      </c>
      <c r="M265" s="9"/>
    </row>
    <row r="266" s="1" customFormat="1" ht="20.1" customHeight="1" spans="1:13">
      <c r="A266" s="4" t="str">
        <f>"37502022022809392421489"</f>
        <v>37502022022809392421489</v>
      </c>
      <c r="B266" s="4" t="s">
        <v>270</v>
      </c>
      <c r="C266" s="4" t="s">
        <v>282</v>
      </c>
      <c r="D266" s="4" t="str">
        <f>"20220040917"</f>
        <v>20220040917</v>
      </c>
      <c r="E266" s="4" t="str">
        <f t="shared" si="48"/>
        <v>09</v>
      </c>
      <c r="F266" s="4" t="str">
        <f>"17"</f>
        <v>17</v>
      </c>
      <c r="G266" s="5">
        <v>79.28</v>
      </c>
      <c r="H266" s="5" t="s">
        <v>14</v>
      </c>
      <c r="I266" s="5">
        <v>78.4</v>
      </c>
      <c r="J266" s="5" t="s">
        <v>14</v>
      </c>
      <c r="K266" s="7">
        <v>78.66</v>
      </c>
      <c r="L266" s="8">
        <v>12</v>
      </c>
      <c r="M266" s="9"/>
    </row>
    <row r="267" s="1" customFormat="1" ht="20.1" customHeight="1" spans="1:13">
      <c r="A267" s="4" t="str">
        <f>"37502022022610265718918"</f>
        <v>37502022022610265718918</v>
      </c>
      <c r="B267" s="4" t="s">
        <v>270</v>
      </c>
      <c r="C267" s="4" t="s">
        <v>283</v>
      </c>
      <c r="D267" s="4" t="str">
        <f>"20220041028"</f>
        <v>20220041028</v>
      </c>
      <c r="E267" s="4" t="str">
        <f t="shared" ref="E267:E272" si="49">"10"</f>
        <v>10</v>
      </c>
      <c r="F267" s="4" t="str">
        <f>"28"</f>
        <v>28</v>
      </c>
      <c r="G267" s="5">
        <v>76.17</v>
      </c>
      <c r="H267" s="5" t="s">
        <v>14</v>
      </c>
      <c r="I267" s="5">
        <v>79.7</v>
      </c>
      <c r="J267" s="5" t="s">
        <v>14</v>
      </c>
      <c r="K267" s="7">
        <v>78.64</v>
      </c>
      <c r="L267" s="8">
        <v>13</v>
      </c>
      <c r="M267" s="9"/>
    </row>
    <row r="268" s="1" customFormat="1" ht="20.1" customHeight="1" spans="1:13">
      <c r="A268" s="4" t="str">
        <f>"37502022030110205223378"</f>
        <v>37502022030110205223378</v>
      </c>
      <c r="B268" s="4" t="s">
        <v>270</v>
      </c>
      <c r="C268" s="4" t="s">
        <v>284</v>
      </c>
      <c r="D268" s="4" t="str">
        <f>"20220041019"</f>
        <v>20220041019</v>
      </c>
      <c r="E268" s="4" t="str">
        <f t="shared" si="49"/>
        <v>10</v>
      </c>
      <c r="F268" s="4" t="str">
        <f>"19"</f>
        <v>19</v>
      </c>
      <c r="G268" s="5">
        <v>72.12</v>
      </c>
      <c r="H268" s="5" t="s">
        <v>14</v>
      </c>
      <c r="I268" s="5">
        <v>81.1</v>
      </c>
      <c r="J268" s="5" t="s">
        <v>14</v>
      </c>
      <c r="K268" s="7">
        <v>78.41</v>
      </c>
      <c r="L268" s="8">
        <v>14</v>
      </c>
      <c r="M268" s="9"/>
    </row>
    <row r="269" s="1" customFormat="1" ht="20.1" customHeight="1" spans="1:13">
      <c r="A269" s="4" t="str">
        <f>"37502022022618362219510"</f>
        <v>37502022022618362219510</v>
      </c>
      <c r="B269" s="4" t="s">
        <v>270</v>
      </c>
      <c r="C269" s="4" t="s">
        <v>285</v>
      </c>
      <c r="D269" s="4" t="str">
        <f>"20220040920"</f>
        <v>20220040920</v>
      </c>
      <c r="E269" s="4" t="str">
        <f t="shared" ref="E269:E271" si="50">"09"</f>
        <v>09</v>
      </c>
      <c r="F269" s="4" t="str">
        <f>"20"</f>
        <v>20</v>
      </c>
      <c r="G269" s="5">
        <v>70.25</v>
      </c>
      <c r="H269" s="5" t="s">
        <v>14</v>
      </c>
      <c r="I269" s="5">
        <v>81.5</v>
      </c>
      <c r="J269" s="5" t="s">
        <v>14</v>
      </c>
      <c r="K269" s="7">
        <v>78.13</v>
      </c>
      <c r="L269" s="8">
        <v>15</v>
      </c>
      <c r="M269" s="9"/>
    </row>
    <row r="270" s="1" customFormat="1" ht="20.1" customHeight="1" spans="1:13">
      <c r="A270" s="4" t="str">
        <f>"37502022030120364424475"</f>
        <v>37502022030120364424475</v>
      </c>
      <c r="B270" s="4" t="s">
        <v>270</v>
      </c>
      <c r="C270" s="4" t="s">
        <v>286</v>
      </c>
      <c r="D270" s="4" t="str">
        <f>"20220040923"</f>
        <v>20220040923</v>
      </c>
      <c r="E270" s="4" t="str">
        <f t="shared" si="50"/>
        <v>09</v>
      </c>
      <c r="F270" s="4" t="str">
        <f>"23"</f>
        <v>23</v>
      </c>
      <c r="G270" s="5">
        <v>75.5</v>
      </c>
      <c r="H270" s="5" t="s">
        <v>14</v>
      </c>
      <c r="I270" s="5">
        <v>78.4</v>
      </c>
      <c r="J270" s="5" t="s">
        <v>14</v>
      </c>
      <c r="K270" s="7">
        <v>77.53</v>
      </c>
      <c r="L270" s="8">
        <v>16</v>
      </c>
      <c r="M270" s="9"/>
    </row>
    <row r="271" s="1" customFormat="1" ht="20.1" customHeight="1" spans="1:13">
      <c r="A271" s="4" t="str">
        <f>"37502022022818590122867"</f>
        <v>37502022022818590122867</v>
      </c>
      <c r="B271" s="4" t="s">
        <v>270</v>
      </c>
      <c r="C271" s="4" t="s">
        <v>287</v>
      </c>
      <c r="D271" s="4" t="str">
        <f>"20220040929"</f>
        <v>20220040929</v>
      </c>
      <c r="E271" s="4" t="str">
        <f t="shared" si="50"/>
        <v>09</v>
      </c>
      <c r="F271" s="4" t="str">
        <f>"29"</f>
        <v>29</v>
      </c>
      <c r="G271" s="5">
        <v>78.7</v>
      </c>
      <c r="H271" s="5" t="s">
        <v>14</v>
      </c>
      <c r="I271" s="5">
        <v>76.7</v>
      </c>
      <c r="J271" s="5" t="s">
        <v>14</v>
      </c>
      <c r="K271" s="7">
        <v>77.3</v>
      </c>
      <c r="L271" s="8">
        <v>17</v>
      </c>
      <c r="M271" s="9"/>
    </row>
    <row r="272" s="1" customFormat="1" ht="20.1" customHeight="1" spans="1:13">
      <c r="A272" s="4" t="str">
        <f>"37502022030120090124422"</f>
        <v>37502022030120090124422</v>
      </c>
      <c r="B272" s="4" t="s">
        <v>270</v>
      </c>
      <c r="C272" s="4" t="s">
        <v>288</v>
      </c>
      <c r="D272" s="4" t="str">
        <f>"20220041007"</f>
        <v>20220041007</v>
      </c>
      <c r="E272" s="4" t="str">
        <f t="shared" si="49"/>
        <v>10</v>
      </c>
      <c r="F272" s="4" t="str">
        <f>"07"</f>
        <v>07</v>
      </c>
      <c r="G272" s="5">
        <v>74.11</v>
      </c>
      <c r="H272" s="5" t="s">
        <v>14</v>
      </c>
      <c r="I272" s="5">
        <v>78.5</v>
      </c>
      <c r="J272" s="5" t="s">
        <v>14</v>
      </c>
      <c r="K272" s="7">
        <v>77.18</v>
      </c>
      <c r="L272" s="8">
        <v>18</v>
      </c>
      <c r="M272" s="9"/>
    </row>
    <row r="273" s="1" customFormat="1" ht="20.1" customHeight="1" spans="1:13">
      <c r="A273" s="4" t="str">
        <f>"37502022022716352920459"</f>
        <v>37502022022716352920459</v>
      </c>
      <c r="B273" s="4" t="s">
        <v>270</v>
      </c>
      <c r="C273" s="4" t="s">
        <v>289</v>
      </c>
      <c r="D273" s="4" t="str">
        <f>"20220040930"</f>
        <v>20220040930</v>
      </c>
      <c r="E273" s="4" t="str">
        <f>"09"</f>
        <v>09</v>
      </c>
      <c r="F273" s="4" t="str">
        <f>"30"</f>
        <v>30</v>
      </c>
      <c r="G273" s="5">
        <v>73.27</v>
      </c>
      <c r="H273" s="5" t="s">
        <v>14</v>
      </c>
      <c r="I273" s="5">
        <v>77.8</v>
      </c>
      <c r="J273" s="5" t="s">
        <v>14</v>
      </c>
      <c r="K273" s="7">
        <v>76.44</v>
      </c>
      <c r="L273" s="8">
        <v>19</v>
      </c>
      <c r="M273" s="9"/>
    </row>
    <row r="274" s="1" customFormat="1" ht="20.1" customHeight="1" spans="1:13">
      <c r="A274" s="4" t="str">
        <f>"37502022022816500322744"</f>
        <v>37502022022816500322744</v>
      </c>
      <c r="B274" s="4" t="s">
        <v>270</v>
      </c>
      <c r="C274" s="4" t="s">
        <v>290</v>
      </c>
      <c r="D274" s="4" t="str">
        <f>"20220041126"</f>
        <v>20220041126</v>
      </c>
      <c r="E274" s="4" t="str">
        <f>"11"</f>
        <v>11</v>
      </c>
      <c r="F274" s="4" t="str">
        <f>"26"</f>
        <v>26</v>
      </c>
      <c r="G274" s="5">
        <v>74.37</v>
      </c>
      <c r="H274" s="5" t="s">
        <v>14</v>
      </c>
      <c r="I274" s="5">
        <v>77.2</v>
      </c>
      <c r="J274" s="5" t="s">
        <v>14</v>
      </c>
      <c r="K274" s="7">
        <v>76.35</v>
      </c>
      <c r="L274" s="8">
        <v>20</v>
      </c>
      <c r="M274" s="9"/>
    </row>
    <row r="275" s="1" customFormat="1" ht="20.1" customHeight="1" spans="1:13">
      <c r="A275" s="4" t="str">
        <f>"37502022030116050223981"</f>
        <v>37502022030116050223981</v>
      </c>
      <c r="B275" s="4" t="s">
        <v>270</v>
      </c>
      <c r="C275" s="4" t="s">
        <v>291</v>
      </c>
      <c r="D275" s="4" t="str">
        <f>"20220041005"</f>
        <v>20220041005</v>
      </c>
      <c r="E275" s="4" t="str">
        <f t="shared" ref="E275:E280" si="51">"10"</f>
        <v>10</v>
      </c>
      <c r="F275" s="4" t="str">
        <f>"05"</f>
        <v>05</v>
      </c>
      <c r="G275" s="5">
        <v>79.3</v>
      </c>
      <c r="H275" s="5" t="s">
        <v>14</v>
      </c>
      <c r="I275" s="5">
        <v>74.7</v>
      </c>
      <c r="J275" s="5" t="s">
        <v>14</v>
      </c>
      <c r="K275" s="7">
        <v>76.08</v>
      </c>
      <c r="L275" s="8">
        <v>21</v>
      </c>
      <c r="M275" s="9"/>
    </row>
    <row r="276" s="1" customFormat="1" ht="20.1" customHeight="1" spans="1:13">
      <c r="A276" s="4" t="str">
        <f>"37502022022817444322808"</f>
        <v>37502022022817444322808</v>
      </c>
      <c r="B276" s="4" t="s">
        <v>270</v>
      </c>
      <c r="C276" s="4" t="s">
        <v>292</v>
      </c>
      <c r="D276" s="4" t="str">
        <f>"20220041212"</f>
        <v>20220041212</v>
      </c>
      <c r="E276" s="4" t="str">
        <f t="shared" ref="E276:E281" si="52">"12"</f>
        <v>12</v>
      </c>
      <c r="F276" s="4" t="str">
        <f>"12"</f>
        <v>12</v>
      </c>
      <c r="G276" s="5">
        <v>76.52</v>
      </c>
      <c r="H276" s="5" t="s">
        <v>14</v>
      </c>
      <c r="I276" s="5">
        <v>75.8</v>
      </c>
      <c r="J276" s="5" t="s">
        <v>14</v>
      </c>
      <c r="K276" s="7">
        <v>76.02</v>
      </c>
      <c r="L276" s="8">
        <v>22</v>
      </c>
      <c r="M276" s="9"/>
    </row>
    <row r="277" s="1" customFormat="1" ht="20.1" customHeight="1" spans="1:13">
      <c r="A277" s="4" t="str">
        <f>"37502022030121095124551"</f>
        <v>37502022030121095124551</v>
      </c>
      <c r="B277" s="4" t="s">
        <v>270</v>
      </c>
      <c r="C277" s="4" t="s">
        <v>293</v>
      </c>
      <c r="D277" s="4" t="str">
        <f>"20220041103"</f>
        <v>20220041103</v>
      </c>
      <c r="E277" s="4" t="str">
        <f>"11"</f>
        <v>11</v>
      </c>
      <c r="F277" s="4" t="str">
        <f t="shared" ref="F277:F282" si="53">"03"</f>
        <v>03</v>
      </c>
      <c r="G277" s="5">
        <v>82.48</v>
      </c>
      <c r="H277" s="5" t="s">
        <v>14</v>
      </c>
      <c r="I277" s="5">
        <v>73</v>
      </c>
      <c r="J277" s="5" t="s">
        <v>14</v>
      </c>
      <c r="K277" s="7">
        <v>75.84</v>
      </c>
      <c r="L277" s="8">
        <v>23</v>
      </c>
      <c r="M277" s="9"/>
    </row>
    <row r="278" s="1" customFormat="1" ht="20.1" customHeight="1" spans="1:13">
      <c r="A278" s="4" t="str">
        <f>"37502022022809284321455"</f>
        <v>37502022022809284321455</v>
      </c>
      <c r="B278" s="4" t="s">
        <v>270</v>
      </c>
      <c r="C278" s="4" t="s">
        <v>294</v>
      </c>
      <c r="D278" s="4" t="str">
        <f>"20220041014"</f>
        <v>20220041014</v>
      </c>
      <c r="E278" s="4" t="str">
        <f t="shared" si="51"/>
        <v>10</v>
      </c>
      <c r="F278" s="4" t="str">
        <f>"14"</f>
        <v>14</v>
      </c>
      <c r="G278" s="5">
        <v>73.45</v>
      </c>
      <c r="H278" s="5" t="s">
        <v>14</v>
      </c>
      <c r="I278" s="5">
        <v>76.5</v>
      </c>
      <c r="J278" s="5" t="s">
        <v>14</v>
      </c>
      <c r="K278" s="7">
        <v>75.59</v>
      </c>
      <c r="L278" s="8">
        <v>24</v>
      </c>
      <c r="M278" s="9"/>
    </row>
    <row r="279" s="1" customFormat="1" ht="20.1" customHeight="1" spans="1:13">
      <c r="A279" s="4" t="str">
        <f>"37502022030115452523948"</f>
        <v>37502022030115452523948</v>
      </c>
      <c r="B279" s="4" t="s">
        <v>270</v>
      </c>
      <c r="C279" s="4" t="s">
        <v>295</v>
      </c>
      <c r="D279" s="4" t="str">
        <f>"20220041203"</f>
        <v>20220041203</v>
      </c>
      <c r="E279" s="4" t="str">
        <f t="shared" si="52"/>
        <v>12</v>
      </c>
      <c r="F279" s="4" t="str">
        <f t="shared" si="53"/>
        <v>03</v>
      </c>
      <c r="G279" s="5">
        <v>76.2</v>
      </c>
      <c r="H279" s="5" t="s">
        <v>14</v>
      </c>
      <c r="I279" s="5">
        <v>74.9</v>
      </c>
      <c r="J279" s="5" t="s">
        <v>14</v>
      </c>
      <c r="K279" s="7">
        <v>75.29</v>
      </c>
      <c r="L279" s="8">
        <v>25</v>
      </c>
      <c r="M279" s="9"/>
    </row>
    <row r="280" s="1" customFormat="1" ht="20.1" customHeight="1" spans="1:13">
      <c r="A280" s="4" t="str">
        <f>"37502022030115462823950"</f>
        <v>37502022030115462823950</v>
      </c>
      <c r="B280" s="4" t="s">
        <v>270</v>
      </c>
      <c r="C280" s="4" t="s">
        <v>296</v>
      </c>
      <c r="D280" s="4" t="str">
        <f>"20220041029"</f>
        <v>20220041029</v>
      </c>
      <c r="E280" s="4" t="str">
        <f t="shared" si="51"/>
        <v>10</v>
      </c>
      <c r="F280" s="4" t="str">
        <f>"29"</f>
        <v>29</v>
      </c>
      <c r="G280" s="5">
        <v>73.1</v>
      </c>
      <c r="H280" s="5" t="s">
        <v>14</v>
      </c>
      <c r="I280" s="5">
        <v>76.1</v>
      </c>
      <c r="J280" s="5" t="s">
        <v>14</v>
      </c>
      <c r="K280" s="7">
        <v>75.2</v>
      </c>
      <c r="L280" s="8">
        <v>26</v>
      </c>
      <c r="M280" s="9"/>
    </row>
    <row r="281" s="1" customFormat="1" ht="20.1" customHeight="1" spans="1:13">
      <c r="A281" s="4" t="str">
        <f>"37502022022611012818980"</f>
        <v>37502022022611012818980</v>
      </c>
      <c r="B281" s="4" t="s">
        <v>270</v>
      </c>
      <c r="C281" s="4" t="s">
        <v>297</v>
      </c>
      <c r="D281" s="4" t="str">
        <f>"20220041213"</f>
        <v>20220041213</v>
      </c>
      <c r="E281" s="4" t="str">
        <f t="shared" si="52"/>
        <v>12</v>
      </c>
      <c r="F281" s="4" t="str">
        <f>"13"</f>
        <v>13</v>
      </c>
      <c r="G281" s="5">
        <v>72.01</v>
      </c>
      <c r="H281" s="5" t="s">
        <v>14</v>
      </c>
      <c r="I281" s="5">
        <v>76.5</v>
      </c>
      <c r="J281" s="5" t="s">
        <v>14</v>
      </c>
      <c r="K281" s="7">
        <v>75.15</v>
      </c>
      <c r="L281" s="8">
        <v>27</v>
      </c>
      <c r="M281" s="9"/>
    </row>
    <row r="282" s="1" customFormat="1" ht="20.1" customHeight="1" spans="1:13">
      <c r="A282" s="4" t="str">
        <f>"37502022030110562923461"</f>
        <v>37502022030110562923461</v>
      </c>
      <c r="B282" s="4" t="s">
        <v>270</v>
      </c>
      <c r="C282" s="4" t="s">
        <v>298</v>
      </c>
      <c r="D282" s="4" t="str">
        <f>"20220041003"</f>
        <v>20220041003</v>
      </c>
      <c r="E282" s="4" t="str">
        <f>"10"</f>
        <v>10</v>
      </c>
      <c r="F282" s="4" t="str">
        <f t="shared" si="53"/>
        <v>03</v>
      </c>
      <c r="G282" s="5">
        <v>73.42</v>
      </c>
      <c r="H282" s="5" t="s">
        <v>14</v>
      </c>
      <c r="I282" s="5">
        <v>75.6</v>
      </c>
      <c r="J282" s="5" t="s">
        <v>14</v>
      </c>
      <c r="K282" s="7">
        <v>74.95</v>
      </c>
      <c r="L282" s="8">
        <v>28</v>
      </c>
      <c r="M282" s="9"/>
    </row>
    <row r="283" s="1" customFormat="1" ht="20.1" customHeight="1" spans="1:13">
      <c r="A283" s="4" t="str">
        <f>"37502022022621480219715"</f>
        <v>37502022022621480219715</v>
      </c>
      <c r="B283" s="4" t="s">
        <v>270</v>
      </c>
      <c r="C283" s="4" t="s">
        <v>299</v>
      </c>
      <c r="D283" s="4" t="str">
        <f>"20220041111"</f>
        <v>20220041111</v>
      </c>
      <c r="E283" s="4" t="str">
        <f t="shared" ref="E283:E286" si="54">"11"</f>
        <v>11</v>
      </c>
      <c r="F283" s="4" t="str">
        <f>"11"</f>
        <v>11</v>
      </c>
      <c r="G283" s="5">
        <v>74.8</v>
      </c>
      <c r="H283" s="5" t="s">
        <v>14</v>
      </c>
      <c r="I283" s="5">
        <v>75</v>
      </c>
      <c r="J283" s="5" t="s">
        <v>14</v>
      </c>
      <c r="K283" s="7">
        <v>74.94</v>
      </c>
      <c r="L283" s="8">
        <v>29</v>
      </c>
      <c r="M283" s="9"/>
    </row>
    <row r="284" s="1" customFormat="1" ht="20.1" customHeight="1" spans="1:13">
      <c r="A284" s="4" t="str">
        <f>"37502022022810234221611"</f>
        <v>37502022022810234221611</v>
      </c>
      <c r="B284" s="4" t="s">
        <v>270</v>
      </c>
      <c r="C284" s="4" t="s">
        <v>300</v>
      </c>
      <c r="D284" s="4" t="str">
        <f>"20220041117"</f>
        <v>20220041117</v>
      </c>
      <c r="E284" s="4" t="str">
        <f t="shared" si="54"/>
        <v>11</v>
      </c>
      <c r="F284" s="4" t="str">
        <f>"17"</f>
        <v>17</v>
      </c>
      <c r="G284" s="5">
        <v>75.07</v>
      </c>
      <c r="H284" s="5" t="s">
        <v>14</v>
      </c>
      <c r="I284" s="5">
        <v>74.6</v>
      </c>
      <c r="J284" s="5" t="s">
        <v>14</v>
      </c>
      <c r="K284" s="7">
        <v>74.74</v>
      </c>
      <c r="L284" s="8">
        <v>30</v>
      </c>
      <c r="M284" s="9"/>
    </row>
    <row r="285" s="1" customFormat="1" ht="20.1" customHeight="1" spans="1:13">
      <c r="A285" s="4" t="str">
        <f>"37502022030113072623712"</f>
        <v>37502022030113072623712</v>
      </c>
      <c r="B285" s="4" t="s">
        <v>270</v>
      </c>
      <c r="C285" s="4" t="s">
        <v>301</v>
      </c>
      <c r="D285" s="4" t="str">
        <f>"20220041101"</f>
        <v>20220041101</v>
      </c>
      <c r="E285" s="4" t="str">
        <f t="shared" si="54"/>
        <v>11</v>
      </c>
      <c r="F285" s="4" t="str">
        <f>"01"</f>
        <v>01</v>
      </c>
      <c r="G285" s="5">
        <v>74.64</v>
      </c>
      <c r="H285" s="5" t="s">
        <v>14</v>
      </c>
      <c r="I285" s="5">
        <v>74.6</v>
      </c>
      <c r="J285" s="5" t="s">
        <v>14</v>
      </c>
      <c r="K285" s="7">
        <v>74.61</v>
      </c>
      <c r="L285" s="8">
        <v>31</v>
      </c>
      <c r="M285" s="9"/>
    </row>
    <row r="286" s="1" customFormat="1" ht="20.1" customHeight="1" spans="1:13">
      <c r="A286" s="4" t="str">
        <f>"37502022022814461922333"</f>
        <v>37502022022814461922333</v>
      </c>
      <c r="B286" s="4" t="s">
        <v>270</v>
      </c>
      <c r="C286" s="4" t="s">
        <v>302</v>
      </c>
      <c r="D286" s="4" t="str">
        <f>"20220041107"</f>
        <v>20220041107</v>
      </c>
      <c r="E286" s="4" t="str">
        <f t="shared" si="54"/>
        <v>11</v>
      </c>
      <c r="F286" s="4" t="str">
        <f>"07"</f>
        <v>07</v>
      </c>
      <c r="G286" s="5">
        <v>75.57</v>
      </c>
      <c r="H286" s="5" t="s">
        <v>14</v>
      </c>
      <c r="I286" s="5">
        <v>74.1</v>
      </c>
      <c r="J286" s="5" t="s">
        <v>14</v>
      </c>
      <c r="K286" s="7">
        <v>74.54</v>
      </c>
      <c r="L286" s="8">
        <v>32</v>
      </c>
      <c r="M286" s="9"/>
    </row>
    <row r="287" s="1" customFormat="1" ht="20.1" customHeight="1" spans="1:13">
      <c r="A287" s="4" t="str">
        <f>"37502022030212293125207"</f>
        <v>37502022030212293125207</v>
      </c>
      <c r="B287" s="4" t="s">
        <v>270</v>
      </c>
      <c r="C287" s="4" t="s">
        <v>303</v>
      </c>
      <c r="D287" s="4" t="str">
        <f>"20220041030"</f>
        <v>20220041030</v>
      </c>
      <c r="E287" s="4" t="str">
        <f>"10"</f>
        <v>10</v>
      </c>
      <c r="F287" s="4" t="str">
        <f>"30"</f>
        <v>30</v>
      </c>
      <c r="G287" s="5">
        <v>75.46</v>
      </c>
      <c r="H287" s="5" t="s">
        <v>14</v>
      </c>
      <c r="I287" s="5">
        <v>74.1</v>
      </c>
      <c r="J287" s="5" t="s">
        <v>14</v>
      </c>
      <c r="K287" s="7">
        <v>74.51</v>
      </c>
      <c r="L287" s="8">
        <v>33</v>
      </c>
      <c r="M287" s="9"/>
    </row>
    <row r="288" s="1" customFormat="1" ht="20.1" customHeight="1" spans="1:13">
      <c r="A288" s="4" t="str">
        <f>"37502022022816252822666"</f>
        <v>37502022022816252822666</v>
      </c>
      <c r="B288" s="4" t="s">
        <v>270</v>
      </c>
      <c r="C288" s="4" t="s">
        <v>304</v>
      </c>
      <c r="D288" s="4" t="str">
        <f>"20220040918"</f>
        <v>20220040918</v>
      </c>
      <c r="E288" s="4" t="str">
        <f t="shared" ref="E288:E292" si="55">"09"</f>
        <v>09</v>
      </c>
      <c r="F288" s="4" t="str">
        <f>"18"</f>
        <v>18</v>
      </c>
      <c r="G288" s="5">
        <v>73.31</v>
      </c>
      <c r="H288" s="5" t="s">
        <v>14</v>
      </c>
      <c r="I288" s="5">
        <v>74.9</v>
      </c>
      <c r="J288" s="5" t="s">
        <v>14</v>
      </c>
      <c r="K288" s="7">
        <v>74.42</v>
      </c>
      <c r="L288" s="8">
        <v>34</v>
      </c>
      <c r="M288" s="9"/>
    </row>
    <row r="289" s="1" customFormat="1" ht="20.1" customHeight="1" spans="1:13">
      <c r="A289" s="4" t="str">
        <f>"37502022022610100118843"</f>
        <v>37502022022610100118843</v>
      </c>
      <c r="B289" s="4" t="s">
        <v>270</v>
      </c>
      <c r="C289" s="4" t="s">
        <v>248</v>
      </c>
      <c r="D289" s="4" t="str">
        <f>"20220041001"</f>
        <v>20220041001</v>
      </c>
      <c r="E289" s="4" t="str">
        <f>"10"</f>
        <v>10</v>
      </c>
      <c r="F289" s="4" t="str">
        <f>"01"</f>
        <v>01</v>
      </c>
      <c r="G289" s="5">
        <v>75.27</v>
      </c>
      <c r="H289" s="5" t="s">
        <v>14</v>
      </c>
      <c r="I289" s="5">
        <v>73.2</v>
      </c>
      <c r="J289" s="5" t="s">
        <v>14</v>
      </c>
      <c r="K289" s="7">
        <v>73.82</v>
      </c>
      <c r="L289" s="8">
        <v>35</v>
      </c>
      <c r="M289" s="9"/>
    </row>
    <row r="290" s="1" customFormat="1" ht="20.1" customHeight="1" spans="1:13">
      <c r="A290" s="4" t="str">
        <f>"37502022022610101818847"</f>
        <v>37502022022610101818847</v>
      </c>
      <c r="B290" s="4" t="s">
        <v>270</v>
      </c>
      <c r="C290" s="4" t="s">
        <v>305</v>
      </c>
      <c r="D290" s="4" t="str">
        <f>"20220041125"</f>
        <v>20220041125</v>
      </c>
      <c r="E290" s="4" t="str">
        <f>"11"</f>
        <v>11</v>
      </c>
      <c r="F290" s="4" t="str">
        <f>"25"</f>
        <v>25</v>
      </c>
      <c r="G290" s="5">
        <v>75.27</v>
      </c>
      <c r="H290" s="5" t="s">
        <v>14</v>
      </c>
      <c r="I290" s="5">
        <v>72.8</v>
      </c>
      <c r="J290" s="5" t="s">
        <v>14</v>
      </c>
      <c r="K290" s="7">
        <v>73.54</v>
      </c>
      <c r="L290" s="8">
        <v>36</v>
      </c>
      <c r="M290" s="9"/>
    </row>
    <row r="291" s="1" customFormat="1" ht="20.1" customHeight="1" spans="1:13">
      <c r="A291" s="4" t="str">
        <f>"37502022030112242023626"</f>
        <v>37502022030112242023626</v>
      </c>
      <c r="B291" s="4" t="s">
        <v>270</v>
      </c>
      <c r="C291" s="4" t="s">
        <v>306</v>
      </c>
      <c r="D291" s="4" t="str">
        <f>"20220040926"</f>
        <v>20220040926</v>
      </c>
      <c r="E291" s="4" t="str">
        <f t="shared" si="55"/>
        <v>09</v>
      </c>
      <c r="F291" s="4" t="str">
        <f>"26"</f>
        <v>26</v>
      </c>
      <c r="G291" s="5">
        <v>69.06</v>
      </c>
      <c r="H291" s="5" t="s">
        <v>14</v>
      </c>
      <c r="I291" s="5">
        <v>75.4</v>
      </c>
      <c r="J291" s="5" t="s">
        <v>14</v>
      </c>
      <c r="K291" s="7">
        <v>73.5</v>
      </c>
      <c r="L291" s="8">
        <v>37</v>
      </c>
      <c r="M291" s="9"/>
    </row>
    <row r="292" s="1" customFormat="1" ht="20.1" customHeight="1" spans="1:13">
      <c r="A292" s="4" t="str">
        <f>"37502022022608541318663"</f>
        <v>37502022022608541318663</v>
      </c>
      <c r="B292" s="4" t="s">
        <v>270</v>
      </c>
      <c r="C292" s="4" t="s">
        <v>307</v>
      </c>
      <c r="D292" s="4" t="str">
        <f>"20220040921"</f>
        <v>20220040921</v>
      </c>
      <c r="E292" s="4" t="str">
        <f t="shared" si="55"/>
        <v>09</v>
      </c>
      <c r="F292" s="4" t="str">
        <f>"21"</f>
        <v>21</v>
      </c>
      <c r="G292" s="5">
        <v>64.86</v>
      </c>
      <c r="H292" s="5" t="s">
        <v>14</v>
      </c>
      <c r="I292" s="5">
        <v>77</v>
      </c>
      <c r="J292" s="5" t="s">
        <v>14</v>
      </c>
      <c r="K292" s="7">
        <v>73.36</v>
      </c>
      <c r="L292" s="8">
        <v>38</v>
      </c>
      <c r="M292" s="9"/>
    </row>
    <row r="293" s="1" customFormat="1" ht="20.1" customHeight="1" spans="1:13">
      <c r="A293" s="4" t="str">
        <f>"37502022030121335224595"</f>
        <v>37502022030121335224595</v>
      </c>
      <c r="B293" s="4" t="s">
        <v>270</v>
      </c>
      <c r="C293" s="4" t="s">
        <v>308</v>
      </c>
      <c r="D293" s="4" t="str">
        <f>"20220041206"</f>
        <v>20220041206</v>
      </c>
      <c r="E293" s="4" t="str">
        <f>"12"</f>
        <v>12</v>
      </c>
      <c r="F293" s="4" t="str">
        <f>"06"</f>
        <v>06</v>
      </c>
      <c r="G293" s="5">
        <v>73.18</v>
      </c>
      <c r="H293" s="5" t="s">
        <v>14</v>
      </c>
      <c r="I293" s="5">
        <v>72.6</v>
      </c>
      <c r="J293" s="5" t="s">
        <v>14</v>
      </c>
      <c r="K293" s="7">
        <v>72.77</v>
      </c>
      <c r="L293" s="8">
        <v>39</v>
      </c>
      <c r="M293" s="9"/>
    </row>
    <row r="294" s="1" customFormat="1" ht="20.1" customHeight="1" spans="1:13">
      <c r="A294" s="4" t="str">
        <f>"37502022030215375225490"</f>
        <v>37502022030215375225490</v>
      </c>
      <c r="B294" s="4" t="s">
        <v>270</v>
      </c>
      <c r="C294" s="4" t="s">
        <v>309</v>
      </c>
      <c r="D294" s="4" t="str">
        <f>"20220041017"</f>
        <v>20220041017</v>
      </c>
      <c r="E294" s="4" t="str">
        <f>"10"</f>
        <v>10</v>
      </c>
      <c r="F294" s="4" t="str">
        <f>"17"</f>
        <v>17</v>
      </c>
      <c r="G294" s="5">
        <v>71.61</v>
      </c>
      <c r="H294" s="5" t="s">
        <v>14</v>
      </c>
      <c r="I294" s="5">
        <v>73.1</v>
      </c>
      <c r="J294" s="5" t="s">
        <v>14</v>
      </c>
      <c r="K294" s="7">
        <v>72.65</v>
      </c>
      <c r="L294" s="8">
        <v>40</v>
      </c>
      <c r="M294" s="9"/>
    </row>
    <row r="295" s="1" customFormat="1" ht="20.1" customHeight="1" spans="1:13">
      <c r="A295" s="4" t="str">
        <f>"37502022022611270219012"</f>
        <v>37502022022611270219012</v>
      </c>
      <c r="B295" s="4" t="s">
        <v>270</v>
      </c>
      <c r="C295" s="4" t="s">
        <v>310</v>
      </c>
      <c r="D295" s="4" t="str">
        <f>"20220040915"</f>
        <v>20220040915</v>
      </c>
      <c r="E295" s="4" t="str">
        <f>"09"</f>
        <v>09</v>
      </c>
      <c r="F295" s="4" t="str">
        <f>"15"</f>
        <v>15</v>
      </c>
      <c r="G295" s="5">
        <v>71.69</v>
      </c>
      <c r="H295" s="5" t="s">
        <v>14</v>
      </c>
      <c r="I295" s="5">
        <v>72.9</v>
      </c>
      <c r="J295" s="5" t="s">
        <v>14</v>
      </c>
      <c r="K295" s="7">
        <v>72.54</v>
      </c>
      <c r="L295" s="8">
        <v>41</v>
      </c>
      <c r="M295" s="9"/>
    </row>
    <row r="296" s="1" customFormat="1" ht="20.1" customHeight="1" spans="1:13">
      <c r="A296" s="4" t="str">
        <f>"37502022022810042121551"</f>
        <v>37502022022810042121551</v>
      </c>
      <c r="B296" s="4" t="s">
        <v>270</v>
      </c>
      <c r="C296" s="4" t="s">
        <v>311</v>
      </c>
      <c r="D296" s="4" t="str">
        <f>"20220040922"</f>
        <v>20220040922</v>
      </c>
      <c r="E296" s="4" t="str">
        <f>"09"</f>
        <v>09</v>
      </c>
      <c r="F296" s="4" t="str">
        <f>"22"</f>
        <v>22</v>
      </c>
      <c r="G296" s="5">
        <v>69.3</v>
      </c>
      <c r="H296" s="5" t="s">
        <v>14</v>
      </c>
      <c r="I296" s="5">
        <v>73.9</v>
      </c>
      <c r="J296" s="5" t="s">
        <v>14</v>
      </c>
      <c r="K296" s="7">
        <v>72.52</v>
      </c>
      <c r="L296" s="8">
        <v>42</v>
      </c>
      <c r="M296" s="9"/>
    </row>
    <row r="297" s="1" customFormat="1" ht="20.1" customHeight="1" spans="1:13">
      <c r="A297" s="4" t="str">
        <f>"37502022030115543923964"</f>
        <v>37502022030115543923964</v>
      </c>
      <c r="B297" s="4" t="s">
        <v>270</v>
      </c>
      <c r="C297" s="4" t="s">
        <v>312</v>
      </c>
      <c r="D297" s="4" t="str">
        <f>"20220041123"</f>
        <v>20220041123</v>
      </c>
      <c r="E297" s="4" t="str">
        <f t="shared" ref="E297:E300" si="56">"11"</f>
        <v>11</v>
      </c>
      <c r="F297" s="4" t="str">
        <f>"23"</f>
        <v>23</v>
      </c>
      <c r="G297" s="5">
        <v>69.6</v>
      </c>
      <c r="H297" s="5" t="s">
        <v>14</v>
      </c>
      <c r="I297" s="5">
        <v>73.4</v>
      </c>
      <c r="J297" s="5" t="s">
        <v>14</v>
      </c>
      <c r="K297" s="7">
        <v>72.26</v>
      </c>
      <c r="L297" s="8">
        <v>43</v>
      </c>
      <c r="M297" s="9"/>
    </row>
    <row r="298" s="1" customFormat="1" ht="20.1" customHeight="1" spans="1:13">
      <c r="A298" s="4" t="str">
        <f>"37502022022816252722665"</f>
        <v>37502022022816252722665</v>
      </c>
      <c r="B298" s="4" t="s">
        <v>270</v>
      </c>
      <c r="C298" s="4" t="s">
        <v>313</v>
      </c>
      <c r="D298" s="4" t="str">
        <f>"20220041016"</f>
        <v>20220041016</v>
      </c>
      <c r="E298" s="4" t="str">
        <f>"10"</f>
        <v>10</v>
      </c>
      <c r="F298" s="4" t="str">
        <f>"16"</f>
        <v>16</v>
      </c>
      <c r="G298" s="5">
        <v>61.27</v>
      </c>
      <c r="H298" s="5" t="s">
        <v>14</v>
      </c>
      <c r="I298" s="5">
        <v>76.9</v>
      </c>
      <c r="J298" s="5" t="s">
        <v>14</v>
      </c>
      <c r="K298" s="7">
        <v>72.21</v>
      </c>
      <c r="L298" s="8">
        <v>44</v>
      </c>
      <c r="M298" s="9"/>
    </row>
    <row r="299" s="1" customFormat="1" ht="20.1" customHeight="1" spans="1:13">
      <c r="A299" s="4" t="str">
        <f>"37502022022818104022827"</f>
        <v>37502022022818104022827</v>
      </c>
      <c r="B299" s="4" t="s">
        <v>270</v>
      </c>
      <c r="C299" s="4" t="s">
        <v>314</v>
      </c>
      <c r="D299" s="4" t="str">
        <f>"20220041104"</f>
        <v>20220041104</v>
      </c>
      <c r="E299" s="4" t="str">
        <f t="shared" si="56"/>
        <v>11</v>
      </c>
      <c r="F299" s="4" t="str">
        <f>"04"</f>
        <v>04</v>
      </c>
      <c r="G299" s="5">
        <v>79.42</v>
      </c>
      <c r="H299" s="5" t="s">
        <v>14</v>
      </c>
      <c r="I299" s="5">
        <v>67.6</v>
      </c>
      <c r="J299" s="5" t="s">
        <v>14</v>
      </c>
      <c r="K299" s="7">
        <v>71.15</v>
      </c>
      <c r="L299" s="8">
        <v>45</v>
      </c>
      <c r="M299" s="9"/>
    </row>
    <row r="300" s="1" customFormat="1" ht="20.1" customHeight="1" spans="1:13">
      <c r="A300" s="4" t="str">
        <f>"37502022022619411719566"</f>
        <v>37502022022619411719566</v>
      </c>
      <c r="B300" s="4" t="s">
        <v>270</v>
      </c>
      <c r="C300" s="4" t="s">
        <v>315</v>
      </c>
      <c r="D300" s="4" t="str">
        <f>"20220041130"</f>
        <v>20220041130</v>
      </c>
      <c r="E300" s="4" t="str">
        <f t="shared" si="56"/>
        <v>11</v>
      </c>
      <c r="F300" s="4" t="str">
        <f>"30"</f>
        <v>30</v>
      </c>
      <c r="G300" s="5">
        <v>67.65</v>
      </c>
      <c r="H300" s="5" t="s">
        <v>14</v>
      </c>
      <c r="I300" s="5">
        <v>71.9</v>
      </c>
      <c r="J300" s="5" t="s">
        <v>14</v>
      </c>
      <c r="K300" s="7">
        <v>70.63</v>
      </c>
      <c r="L300" s="8">
        <v>46</v>
      </c>
      <c r="M300" s="9"/>
    </row>
    <row r="301" s="1" customFormat="1" ht="20.1" customHeight="1" spans="1:13">
      <c r="A301" s="4" t="str">
        <f>"37502022030108194523124"</f>
        <v>37502022030108194523124</v>
      </c>
      <c r="B301" s="4" t="s">
        <v>270</v>
      </c>
      <c r="C301" s="4" t="s">
        <v>316</v>
      </c>
      <c r="D301" s="4" t="str">
        <f>"20220041204"</f>
        <v>20220041204</v>
      </c>
      <c r="E301" s="4" t="str">
        <f>"12"</f>
        <v>12</v>
      </c>
      <c r="F301" s="4" t="str">
        <f>"04"</f>
        <v>04</v>
      </c>
      <c r="G301" s="5">
        <v>68.76</v>
      </c>
      <c r="H301" s="5" t="s">
        <v>14</v>
      </c>
      <c r="I301" s="5">
        <v>71.2</v>
      </c>
      <c r="J301" s="5" t="s">
        <v>14</v>
      </c>
      <c r="K301" s="7">
        <v>70.47</v>
      </c>
      <c r="L301" s="8">
        <v>47</v>
      </c>
      <c r="M301" s="9"/>
    </row>
    <row r="302" s="1" customFormat="1" ht="20.1" customHeight="1" spans="1:13">
      <c r="A302" s="4" t="str">
        <f>"37502022030122311424692"</f>
        <v>37502022030122311424692</v>
      </c>
      <c r="B302" s="4" t="s">
        <v>270</v>
      </c>
      <c r="C302" s="4" t="s">
        <v>317</v>
      </c>
      <c r="D302" s="4" t="str">
        <f>"20220041106"</f>
        <v>20220041106</v>
      </c>
      <c r="E302" s="4" t="str">
        <f t="shared" ref="E302:E309" si="57">"11"</f>
        <v>11</v>
      </c>
      <c r="F302" s="4" t="str">
        <f>"06"</f>
        <v>06</v>
      </c>
      <c r="G302" s="5">
        <v>72.47</v>
      </c>
      <c r="H302" s="5" t="s">
        <v>14</v>
      </c>
      <c r="I302" s="5">
        <v>68.5</v>
      </c>
      <c r="J302" s="5" t="s">
        <v>14</v>
      </c>
      <c r="K302" s="7">
        <v>69.69</v>
      </c>
      <c r="L302" s="8">
        <v>48</v>
      </c>
      <c r="M302" s="9"/>
    </row>
    <row r="303" s="1" customFormat="1" ht="20.1" customHeight="1" spans="1:13">
      <c r="A303" s="4" t="str">
        <f>"37502022022808160721302"</f>
        <v>37502022022808160721302</v>
      </c>
      <c r="B303" s="4" t="s">
        <v>270</v>
      </c>
      <c r="C303" s="4" t="s">
        <v>318</v>
      </c>
      <c r="D303" s="4" t="str">
        <f>"20220041021"</f>
        <v>20220041021</v>
      </c>
      <c r="E303" s="4" t="str">
        <f t="shared" ref="E303:E306" si="58">"10"</f>
        <v>10</v>
      </c>
      <c r="F303" s="4" t="str">
        <f>"21"</f>
        <v>21</v>
      </c>
      <c r="G303" s="5">
        <v>62.44</v>
      </c>
      <c r="H303" s="5" t="s">
        <v>14</v>
      </c>
      <c r="I303" s="5">
        <v>71.6</v>
      </c>
      <c r="J303" s="5" t="s">
        <v>14</v>
      </c>
      <c r="K303" s="7">
        <v>68.85</v>
      </c>
      <c r="L303" s="8">
        <v>49</v>
      </c>
      <c r="M303" s="9"/>
    </row>
    <row r="304" s="1" customFormat="1" ht="20.1" customHeight="1" spans="1:13">
      <c r="A304" s="4" t="str">
        <f>"37502022022811065121732"</f>
        <v>37502022022811065121732</v>
      </c>
      <c r="B304" s="4" t="s">
        <v>270</v>
      </c>
      <c r="C304" s="4" t="s">
        <v>319</v>
      </c>
      <c r="D304" s="4" t="str">
        <f>"20220041018"</f>
        <v>20220041018</v>
      </c>
      <c r="E304" s="4" t="str">
        <f t="shared" si="58"/>
        <v>10</v>
      </c>
      <c r="F304" s="4" t="str">
        <f>"18"</f>
        <v>18</v>
      </c>
      <c r="G304" s="5">
        <v>65.45</v>
      </c>
      <c r="H304" s="5" t="s">
        <v>14</v>
      </c>
      <c r="I304" s="5">
        <v>69.7</v>
      </c>
      <c r="J304" s="5" t="s">
        <v>14</v>
      </c>
      <c r="K304" s="7">
        <v>68.43</v>
      </c>
      <c r="L304" s="8">
        <v>50</v>
      </c>
      <c r="M304" s="9"/>
    </row>
    <row r="305" s="1" customFormat="1" ht="20.1" customHeight="1" spans="1:13">
      <c r="A305" s="4" t="str">
        <f>"37502022030114132323808"</f>
        <v>37502022030114132323808</v>
      </c>
      <c r="B305" s="4" t="s">
        <v>270</v>
      </c>
      <c r="C305" s="4" t="s">
        <v>320</v>
      </c>
      <c r="D305" s="4" t="str">
        <f>"20220041128"</f>
        <v>20220041128</v>
      </c>
      <c r="E305" s="4" t="str">
        <f t="shared" si="57"/>
        <v>11</v>
      </c>
      <c r="F305" s="4" t="str">
        <f>"28"</f>
        <v>28</v>
      </c>
      <c r="G305" s="5">
        <v>64.42</v>
      </c>
      <c r="H305" s="5" t="s">
        <v>14</v>
      </c>
      <c r="I305" s="5">
        <v>69.1</v>
      </c>
      <c r="J305" s="5" t="s">
        <v>14</v>
      </c>
      <c r="K305" s="7">
        <v>67.7</v>
      </c>
      <c r="L305" s="8">
        <v>51</v>
      </c>
      <c r="M305" s="9"/>
    </row>
    <row r="306" s="1" customFormat="1" ht="20.1" customHeight="1" spans="1:13">
      <c r="A306" s="4" t="str">
        <f>"37502022030112115423609"</f>
        <v>37502022030112115423609</v>
      </c>
      <c r="B306" s="4" t="s">
        <v>270</v>
      </c>
      <c r="C306" s="4" t="s">
        <v>321</v>
      </c>
      <c r="D306" s="4" t="str">
        <f>"20220041013"</f>
        <v>20220041013</v>
      </c>
      <c r="E306" s="4" t="str">
        <f t="shared" si="58"/>
        <v>10</v>
      </c>
      <c r="F306" s="4" t="str">
        <f>"13"</f>
        <v>13</v>
      </c>
      <c r="G306" s="5">
        <v>68.31</v>
      </c>
      <c r="H306" s="5" t="s">
        <v>14</v>
      </c>
      <c r="I306" s="5">
        <v>66.4</v>
      </c>
      <c r="J306" s="5" t="s">
        <v>14</v>
      </c>
      <c r="K306" s="7">
        <v>66.97</v>
      </c>
      <c r="L306" s="8">
        <v>52</v>
      </c>
      <c r="M306" s="9"/>
    </row>
    <row r="307" s="1" customFormat="1" ht="20.1" customHeight="1" spans="1:13">
      <c r="A307" s="4" t="str">
        <f>"37502022030122200724674"</f>
        <v>37502022030122200724674</v>
      </c>
      <c r="B307" s="4" t="s">
        <v>270</v>
      </c>
      <c r="C307" s="4" t="s">
        <v>322</v>
      </c>
      <c r="D307" s="4" t="str">
        <f>"20220041124"</f>
        <v>20220041124</v>
      </c>
      <c r="E307" s="4" t="str">
        <f t="shared" si="57"/>
        <v>11</v>
      </c>
      <c r="F307" s="4" t="str">
        <f>"24"</f>
        <v>24</v>
      </c>
      <c r="G307" s="5">
        <v>63.48</v>
      </c>
      <c r="H307" s="5" t="s">
        <v>14</v>
      </c>
      <c r="I307" s="5">
        <v>68.3</v>
      </c>
      <c r="J307" s="5" t="s">
        <v>14</v>
      </c>
      <c r="K307" s="7">
        <v>66.85</v>
      </c>
      <c r="L307" s="8">
        <v>53</v>
      </c>
      <c r="M307" s="9"/>
    </row>
    <row r="308" s="1" customFormat="1" ht="20.1" customHeight="1" spans="1:13">
      <c r="A308" s="4" t="str">
        <f>"37502022022810474321677"</f>
        <v>37502022022810474321677</v>
      </c>
      <c r="B308" s="4" t="s">
        <v>270</v>
      </c>
      <c r="C308" s="4" t="s">
        <v>323</v>
      </c>
      <c r="D308" s="4" t="str">
        <f>"20220041120"</f>
        <v>20220041120</v>
      </c>
      <c r="E308" s="4" t="str">
        <f t="shared" si="57"/>
        <v>11</v>
      </c>
      <c r="F308" s="4" t="str">
        <f>"20"</f>
        <v>20</v>
      </c>
      <c r="G308" s="5">
        <v>71.09</v>
      </c>
      <c r="H308" s="5" t="s">
        <v>14</v>
      </c>
      <c r="I308" s="5">
        <v>64.9</v>
      </c>
      <c r="J308" s="5" t="s">
        <v>14</v>
      </c>
      <c r="K308" s="7">
        <v>66.76</v>
      </c>
      <c r="L308" s="8">
        <v>54</v>
      </c>
      <c r="M308" s="9"/>
    </row>
    <row r="309" s="1" customFormat="1" ht="20.1" customHeight="1" spans="1:13">
      <c r="A309" s="4" t="str">
        <f>"37502022030116182624005"</f>
        <v>37502022030116182624005</v>
      </c>
      <c r="B309" s="4" t="s">
        <v>270</v>
      </c>
      <c r="C309" s="4" t="s">
        <v>324</v>
      </c>
      <c r="D309" s="4" t="str">
        <f>"20220041115"</f>
        <v>20220041115</v>
      </c>
      <c r="E309" s="4" t="str">
        <f t="shared" si="57"/>
        <v>11</v>
      </c>
      <c r="F309" s="4" t="str">
        <f>"15"</f>
        <v>15</v>
      </c>
      <c r="G309" s="5">
        <v>67.29</v>
      </c>
      <c r="H309" s="5" t="s">
        <v>14</v>
      </c>
      <c r="I309" s="5">
        <v>66.5</v>
      </c>
      <c r="J309" s="5" t="s">
        <v>14</v>
      </c>
      <c r="K309" s="7">
        <v>66.74</v>
      </c>
      <c r="L309" s="8">
        <v>55</v>
      </c>
      <c r="M309" s="9"/>
    </row>
    <row r="310" s="1" customFormat="1" ht="20.1" customHeight="1" spans="1:13">
      <c r="A310" s="4" t="str">
        <f>"37502022022712114520081"</f>
        <v>37502022022712114520081</v>
      </c>
      <c r="B310" s="4" t="s">
        <v>270</v>
      </c>
      <c r="C310" s="4" t="s">
        <v>325</v>
      </c>
      <c r="D310" s="4" t="str">
        <f>"20220040928"</f>
        <v>20220040928</v>
      </c>
      <c r="E310" s="4" t="str">
        <f>"09"</f>
        <v>09</v>
      </c>
      <c r="F310" s="4" t="str">
        <f>"28"</f>
        <v>28</v>
      </c>
      <c r="G310" s="5">
        <v>59.61</v>
      </c>
      <c r="H310" s="5" t="s">
        <v>14</v>
      </c>
      <c r="I310" s="5">
        <v>69.6</v>
      </c>
      <c r="J310" s="5" t="s">
        <v>14</v>
      </c>
      <c r="K310" s="7">
        <v>66.6</v>
      </c>
      <c r="L310" s="8">
        <v>56</v>
      </c>
      <c r="M310" s="9"/>
    </row>
    <row r="311" s="1" customFormat="1" ht="20.1" customHeight="1" spans="1:13">
      <c r="A311" s="4" t="str">
        <f>"37502022022719223820654"</f>
        <v>37502022022719223820654</v>
      </c>
      <c r="B311" s="4" t="s">
        <v>270</v>
      </c>
      <c r="C311" s="4" t="s">
        <v>326</v>
      </c>
      <c r="D311" s="4" t="str">
        <f>"20220041202"</f>
        <v>20220041202</v>
      </c>
      <c r="E311" s="4" t="str">
        <f>"12"</f>
        <v>12</v>
      </c>
      <c r="F311" s="4" t="str">
        <f>"02"</f>
        <v>02</v>
      </c>
      <c r="G311" s="5">
        <v>71.76</v>
      </c>
      <c r="H311" s="5" t="s">
        <v>14</v>
      </c>
      <c r="I311" s="5">
        <v>63.1</v>
      </c>
      <c r="J311" s="5" t="s">
        <v>14</v>
      </c>
      <c r="K311" s="7">
        <v>65.7</v>
      </c>
      <c r="L311" s="8">
        <v>57</v>
      </c>
      <c r="M311" s="9"/>
    </row>
    <row r="312" s="1" customFormat="1" ht="20.1" customHeight="1" spans="1:13">
      <c r="A312" s="4" t="str">
        <f>"37502022022718572520617"</f>
        <v>37502022022718572520617</v>
      </c>
      <c r="B312" s="4" t="s">
        <v>270</v>
      </c>
      <c r="C312" s="4" t="s">
        <v>327</v>
      </c>
      <c r="D312" s="4" t="str">
        <f>"20220040925"</f>
        <v>20220040925</v>
      </c>
      <c r="E312" s="4" t="str">
        <f>"09"</f>
        <v>09</v>
      </c>
      <c r="F312" s="4" t="str">
        <f>"25"</f>
        <v>25</v>
      </c>
      <c r="G312" s="5">
        <v>51.72</v>
      </c>
      <c r="H312" s="5" t="s">
        <v>14</v>
      </c>
      <c r="I312" s="5">
        <v>71.4</v>
      </c>
      <c r="J312" s="5" t="s">
        <v>14</v>
      </c>
      <c r="K312" s="7">
        <v>65.5</v>
      </c>
      <c r="L312" s="8">
        <v>58</v>
      </c>
      <c r="M312" s="9"/>
    </row>
    <row r="313" s="1" customFormat="1" ht="20.1" customHeight="1" spans="1:13">
      <c r="A313" s="4" t="str">
        <f>"37502022022613043419139"</f>
        <v>37502022022613043419139</v>
      </c>
      <c r="B313" s="4" t="s">
        <v>270</v>
      </c>
      <c r="C313" s="4" t="s">
        <v>328</v>
      </c>
      <c r="D313" s="4" t="str">
        <f>"20220041105"</f>
        <v>20220041105</v>
      </c>
      <c r="E313" s="4" t="str">
        <f>"11"</f>
        <v>11</v>
      </c>
      <c r="F313" s="4" t="str">
        <f>"05"</f>
        <v>05</v>
      </c>
      <c r="G313" s="5">
        <v>69.04</v>
      </c>
      <c r="H313" s="5" t="s">
        <v>14</v>
      </c>
      <c r="I313" s="5">
        <v>63.5</v>
      </c>
      <c r="J313" s="5" t="s">
        <v>14</v>
      </c>
      <c r="K313" s="7">
        <v>65.16</v>
      </c>
      <c r="L313" s="8">
        <v>59</v>
      </c>
      <c r="M313" s="9"/>
    </row>
    <row r="314" s="1" customFormat="1" ht="20.1" customHeight="1" spans="1:13">
      <c r="A314" s="4" t="str">
        <f>"37502022030211023425087"</f>
        <v>37502022030211023425087</v>
      </c>
      <c r="B314" s="4" t="s">
        <v>270</v>
      </c>
      <c r="C314" s="4" t="s">
        <v>329</v>
      </c>
      <c r="D314" s="4" t="str">
        <f>"20220041210"</f>
        <v>20220041210</v>
      </c>
      <c r="E314" s="4" t="str">
        <f t="shared" ref="E314:E318" si="59">"12"</f>
        <v>12</v>
      </c>
      <c r="F314" s="4" t="str">
        <f>"10"</f>
        <v>10</v>
      </c>
      <c r="G314" s="5">
        <v>57.63</v>
      </c>
      <c r="H314" s="5" t="s">
        <v>14</v>
      </c>
      <c r="I314" s="5">
        <v>67.9</v>
      </c>
      <c r="J314" s="5" t="s">
        <v>14</v>
      </c>
      <c r="K314" s="7">
        <v>64.82</v>
      </c>
      <c r="L314" s="8">
        <v>60</v>
      </c>
      <c r="M314" s="9"/>
    </row>
    <row r="315" s="1" customFormat="1" ht="20.1" customHeight="1" spans="1:13">
      <c r="A315" s="4" t="str">
        <f>"37502022022809583621534"</f>
        <v>37502022022809583621534</v>
      </c>
      <c r="B315" s="4" t="s">
        <v>270</v>
      </c>
      <c r="C315" s="4" t="s">
        <v>330</v>
      </c>
      <c r="D315" s="4" t="str">
        <f>"20220041108"</f>
        <v>20220041108</v>
      </c>
      <c r="E315" s="4" t="str">
        <f>"11"</f>
        <v>11</v>
      </c>
      <c r="F315" s="4" t="str">
        <f>"08"</f>
        <v>08</v>
      </c>
      <c r="G315" s="5">
        <v>65.04</v>
      </c>
      <c r="H315" s="5" t="s">
        <v>14</v>
      </c>
      <c r="I315" s="5">
        <v>64.7</v>
      </c>
      <c r="J315" s="5" t="s">
        <v>14</v>
      </c>
      <c r="K315" s="7">
        <v>64.8</v>
      </c>
      <c r="L315" s="8">
        <v>61</v>
      </c>
      <c r="M315" s="9"/>
    </row>
    <row r="316" s="1" customFormat="1" ht="20.1" customHeight="1" spans="1:13">
      <c r="A316" s="4" t="str">
        <f>"37502022022808322921329"</f>
        <v>37502022022808322921329</v>
      </c>
      <c r="B316" s="4" t="s">
        <v>270</v>
      </c>
      <c r="C316" s="4" t="s">
        <v>331</v>
      </c>
      <c r="D316" s="4" t="str">
        <f>"20220040916"</f>
        <v>20220040916</v>
      </c>
      <c r="E316" s="4" t="str">
        <f>"09"</f>
        <v>09</v>
      </c>
      <c r="F316" s="4" t="str">
        <f>"16"</f>
        <v>16</v>
      </c>
      <c r="G316" s="5">
        <v>71.7</v>
      </c>
      <c r="H316" s="5" t="s">
        <v>14</v>
      </c>
      <c r="I316" s="5">
        <v>61.4</v>
      </c>
      <c r="J316" s="5" t="s">
        <v>14</v>
      </c>
      <c r="K316" s="7">
        <v>64.49</v>
      </c>
      <c r="L316" s="8">
        <v>62</v>
      </c>
      <c r="M316" s="9"/>
    </row>
    <row r="317" s="1" customFormat="1" ht="20.1" customHeight="1" spans="1:13">
      <c r="A317" s="4" t="str">
        <f>"37502022030209263424918"</f>
        <v>37502022030209263424918</v>
      </c>
      <c r="B317" s="4" t="s">
        <v>270</v>
      </c>
      <c r="C317" s="4" t="s">
        <v>332</v>
      </c>
      <c r="D317" s="4" t="str">
        <f>"20220041201"</f>
        <v>20220041201</v>
      </c>
      <c r="E317" s="4" t="str">
        <f t="shared" si="59"/>
        <v>12</v>
      </c>
      <c r="F317" s="4" t="str">
        <f>"01"</f>
        <v>01</v>
      </c>
      <c r="G317" s="5">
        <v>61.33</v>
      </c>
      <c r="H317" s="5" t="s">
        <v>14</v>
      </c>
      <c r="I317" s="5">
        <v>65.6</v>
      </c>
      <c r="J317" s="5" t="s">
        <v>14</v>
      </c>
      <c r="K317" s="7">
        <v>64.32</v>
      </c>
      <c r="L317" s="8">
        <v>63</v>
      </c>
      <c r="M317" s="9"/>
    </row>
    <row r="318" s="1" customFormat="1" ht="20.1" customHeight="1" spans="1:13">
      <c r="A318" s="4" t="str">
        <f>"37502022030121590224640"</f>
        <v>37502022030121590224640</v>
      </c>
      <c r="B318" s="4" t="s">
        <v>270</v>
      </c>
      <c r="C318" s="4" t="s">
        <v>333</v>
      </c>
      <c r="D318" s="4" t="str">
        <f>"20220041211"</f>
        <v>20220041211</v>
      </c>
      <c r="E318" s="4" t="str">
        <f t="shared" si="59"/>
        <v>12</v>
      </c>
      <c r="F318" s="4" t="str">
        <f>"11"</f>
        <v>11</v>
      </c>
      <c r="G318" s="5">
        <v>61.67</v>
      </c>
      <c r="H318" s="5" t="s">
        <v>14</v>
      </c>
      <c r="I318" s="5">
        <v>62.1</v>
      </c>
      <c r="J318" s="5" t="s">
        <v>14</v>
      </c>
      <c r="K318" s="7">
        <v>61.97</v>
      </c>
      <c r="L318" s="8">
        <v>64</v>
      </c>
      <c r="M318" s="9"/>
    </row>
    <row r="319" s="1" customFormat="1" ht="20.1" customHeight="1" spans="1:13">
      <c r="A319" s="4" t="str">
        <f>"37502022022715245020333"</f>
        <v>37502022022715245020333</v>
      </c>
      <c r="B319" s="4" t="s">
        <v>270</v>
      </c>
      <c r="C319" s="4" t="s">
        <v>334</v>
      </c>
      <c r="D319" s="4" t="str">
        <f>"20220041027"</f>
        <v>20220041027</v>
      </c>
      <c r="E319" s="4" t="str">
        <f t="shared" ref="E319:E322" si="60">"10"</f>
        <v>10</v>
      </c>
      <c r="F319" s="4" t="str">
        <f>"27"</f>
        <v>27</v>
      </c>
      <c r="G319" s="5">
        <v>54.76</v>
      </c>
      <c r="H319" s="5" t="s">
        <v>14</v>
      </c>
      <c r="I319" s="5">
        <v>64.5</v>
      </c>
      <c r="J319" s="5" t="s">
        <v>14</v>
      </c>
      <c r="K319" s="7">
        <v>61.58</v>
      </c>
      <c r="L319" s="8">
        <v>65</v>
      </c>
      <c r="M319" s="9"/>
    </row>
    <row r="320" s="1" customFormat="1" ht="20.1" customHeight="1" spans="1:13">
      <c r="A320" s="4" t="str">
        <f>"37502022022608011418605"</f>
        <v>37502022022608011418605</v>
      </c>
      <c r="B320" s="4" t="s">
        <v>270</v>
      </c>
      <c r="C320" s="4" t="s">
        <v>335</v>
      </c>
      <c r="D320" s="4" t="str">
        <f>"20220041214"</f>
        <v>20220041214</v>
      </c>
      <c r="E320" s="4" t="str">
        <f>"12"</f>
        <v>12</v>
      </c>
      <c r="F320" s="4" t="str">
        <f>"14"</f>
        <v>14</v>
      </c>
      <c r="G320" s="5">
        <v>54.31</v>
      </c>
      <c r="H320" s="5" t="s">
        <v>14</v>
      </c>
      <c r="I320" s="5">
        <v>63.5</v>
      </c>
      <c r="J320" s="5" t="s">
        <v>14</v>
      </c>
      <c r="K320" s="7">
        <v>60.74</v>
      </c>
      <c r="L320" s="8">
        <v>66</v>
      </c>
      <c r="M320" s="9"/>
    </row>
    <row r="321" s="1" customFormat="1" ht="20.1" customHeight="1" spans="1:13">
      <c r="A321" s="4" t="str">
        <f>"37502022022608153018629"</f>
        <v>37502022022608153018629</v>
      </c>
      <c r="B321" s="4" t="s">
        <v>270</v>
      </c>
      <c r="C321" s="4" t="s">
        <v>336</v>
      </c>
      <c r="D321" s="4" t="str">
        <f>"20220041004"</f>
        <v>20220041004</v>
      </c>
      <c r="E321" s="4" t="str">
        <f t="shared" si="60"/>
        <v>10</v>
      </c>
      <c r="F321" s="4" t="str">
        <f>"04"</f>
        <v>04</v>
      </c>
      <c r="G321" s="5">
        <v>0</v>
      </c>
      <c r="H321" s="5" t="s">
        <v>74</v>
      </c>
      <c r="I321" s="5">
        <v>0</v>
      </c>
      <c r="J321" s="5" t="s">
        <v>74</v>
      </c>
      <c r="K321" s="7">
        <v>0</v>
      </c>
      <c r="L321" s="8">
        <v>67</v>
      </c>
      <c r="M321" s="9"/>
    </row>
    <row r="322" s="1" customFormat="1" ht="20.1" customHeight="1" spans="1:13">
      <c r="A322" s="4" t="str">
        <f>"37502022022613540519185"</f>
        <v>37502022022613540519185</v>
      </c>
      <c r="B322" s="4" t="s">
        <v>270</v>
      </c>
      <c r="C322" s="4" t="s">
        <v>337</v>
      </c>
      <c r="D322" s="4" t="str">
        <f>"20220041026"</f>
        <v>20220041026</v>
      </c>
      <c r="E322" s="4" t="str">
        <f t="shared" si="60"/>
        <v>10</v>
      </c>
      <c r="F322" s="4" t="str">
        <f>"26"</f>
        <v>26</v>
      </c>
      <c r="G322" s="5">
        <v>0</v>
      </c>
      <c r="H322" s="5" t="s">
        <v>74</v>
      </c>
      <c r="I322" s="5">
        <v>0</v>
      </c>
      <c r="J322" s="5" t="s">
        <v>74</v>
      </c>
      <c r="K322" s="7">
        <v>0</v>
      </c>
      <c r="L322" s="8">
        <v>67</v>
      </c>
      <c r="M322" s="9"/>
    </row>
    <row r="323" s="1" customFormat="1" ht="20.1" customHeight="1" spans="1:13">
      <c r="A323" s="4" t="str">
        <f>"37502022022614075119209"</f>
        <v>37502022022614075119209</v>
      </c>
      <c r="B323" s="4" t="s">
        <v>270</v>
      </c>
      <c r="C323" s="4" t="s">
        <v>338</v>
      </c>
      <c r="D323" s="4" t="str">
        <f>"20220041209"</f>
        <v>20220041209</v>
      </c>
      <c r="E323" s="4" t="str">
        <f>"12"</f>
        <v>12</v>
      </c>
      <c r="F323" s="4" t="str">
        <f>"09"</f>
        <v>09</v>
      </c>
      <c r="G323" s="5">
        <v>0</v>
      </c>
      <c r="H323" s="5" t="s">
        <v>74</v>
      </c>
      <c r="I323" s="5">
        <v>0</v>
      </c>
      <c r="J323" s="5" t="s">
        <v>74</v>
      </c>
      <c r="K323" s="7">
        <v>0</v>
      </c>
      <c r="L323" s="8">
        <v>67</v>
      </c>
      <c r="M323" s="9"/>
    </row>
    <row r="324" s="1" customFormat="1" ht="20.1" customHeight="1" spans="1:13">
      <c r="A324" s="4" t="str">
        <f>"37502022022621410119704"</f>
        <v>37502022022621410119704</v>
      </c>
      <c r="B324" s="4" t="s">
        <v>270</v>
      </c>
      <c r="C324" s="4" t="s">
        <v>339</v>
      </c>
      <c r="D324" s="4" t="str">
        <f>"20220041102"</f>
        <v>20220041102</v>
      </c>
      <c r="E324" s="4" t="str">
        <f>"11"</f>
        <v>11</v>
      </c>
      <c r="F324" s="4" t="str">
        <f>"02"</f>
        <v>02</v>
      </c>
      <c r="G324" s="5">
        <v>0</v>
      </c>
      <c r="H324" s="5" t="s">
        <v>74</v>
      </c>
      <c r="I324" s="5">
        <v>0</v>
      </c>
      <c r="J324" s="5" t="s">
        <v>74</v>
      </c>
      <c r="K324" s="7">
        <v>0</v>
      </c>
      <c r="L324" s="8">
        <v>67</v>
      </c>
      <c r="M324" s="9"/>
    </row>
    <row r="325" s="1" customFormat="1" ht="20.1" customHeight="1" spans="1:13">
      <c r="A325" s="4" t="str">
        <f>"37502022022712555120129"</f>
        <v>37502022022712555120129</v>
      </c>
      <c r="B325" s="4" t="s">
        <v>270</v>
      </c>
      <c r="C325" s="4" t="s">
        <v>340</v>
      </c>
      <c r="D325" s="4" t="str">
        <f>"20220041012"</f>
        <v>20220041012</v>
      </c>
      <c r="E325" s="4" t="str">
        <f t="shared" ref="E325:E334" si="61">"10"</f>
        <v>10</v>
      </c>
      <c r="F325" s="4" t="str">
        <f>"12"</f>
        <v>12</v>
      </c>
      <c r="G325" s="5">
        <v>0</v>
      </c>
      <c r="H325" s="5" t="s">
        <v>74</v>
      </c>
      <c r="I325" s="5">
        <v>0</v>
      </c>
      <c r="J325" s="5" t="s">
        <v>74</v>
      </c>
      <c r="K325" s="7">
        <v>0</v>
      </c>
      <c r="L325" s="8">
        <v>67</v>
      </c>
      <c r="M325" s="9"/>
    </row>
    <row r="326" s="1" customFormat="1" ht="20.1" customHeight="1" spans="1:13">
      <c r="A326" s="4" t="str">
        <f>"37502022022714524320288"</f>
        <v>37502022022714524320288</v>
      </c>
      <c r="B326" s="4" t="s">
        <v>270</v>
      </c>
      <c r="C326" s="4" t="s">
        <v>341</v>
      </c>
      <c r="D326" s="4" t="str">
        <f>"20220041121"</f>
        <v>20220041121</v>
      </c>
      <c r="E326" s="4" t="str">
        <f>"11"</f>
        <v>11</v>
      </c>
      <c r="F326" s="4" t="str">
        <f>"21"</f>
        <v>21</v>
      </c>
      <c r="G326" s="5">
        <v>0</v>
      </c>
      <c r="H326" s="5" t="s">
        <v>74</v>
      </c>
      <c r="I326" s="5">
        <v>0</v>
      </c>
      <c r="J326" s="5" t="s">
        <v>74</v>
      </c>
      <c r="K326" s="7">
        <v>0</v>
      </c>
      <c r="L326" s="8">
        <v>67</v>
      </c>
      <c r="M326" s="9"/>
    </row>
    <row r="327" s="1" customFormat="1" ht="20.1" customHeight="1" spans="1:13">
      <c r="A327" s="4" t="str">
        <f>"37502022022715153420316"</f>
        <v>37502022022715153420316</v>
      </c>
      <c r="B327" s="4" t="s">
        <v>270</v>
      </c>
      <c r="C327" s="4" t="s">
        <v>342</v>
      </c>
      <c r="D327" s="4" t="str">
        <f>"20220041002"</f>
        <v>20220041002</v>
      </c>
      <c r="E327" s="4" t="str">
        <f t="shared" si="61"/>
        <v>10</v>
      </c>
      <c r="F327" s="4" t="str">
        <f>"02"</f>
        <v>02</v>
      </c>
      <c r="G327" s="5">
        <v>0</v>
      </c>
      <c r="H327" s="5" t="s">
        <v>74</v>
      </c>
      <c r="I327" s="5">
        <v>0</v>
      </c>
      <c r="J327" s="5" t="s">
        <v>74</v>
      </c>
      <c r="K327" s="7">
        <v>0</v>
      </c>
      <c r="L327" s="8">
        <v>67</v>
      </c>
      <c r="M327" s="9"/>
    </row>
    <row r="328" s="1" customFormat="1" ht="20.1" customHeight="1" spans="1:13">
      <c r="A328" s="4" t="str">
        <f>"37502022022719251920659"</f>
        <v>37502022022719251920659</v>
      </c>
      <c r="B328" s="4" t="s">
        <v>270</v>
      </c>
      <c r="C328" s="4" t="s">
        <v>343</v>
      </c>
      <c r="D328" s="4" t="str">
        <f>"20220041205"</f>
        <v>20220041205</v>
      </c>
      <c r="E328" s="4" t="str">
        <f>"12"</f>
        <v>12</v>
      </c>
      <c r="F328" s="4" t="str">
        <f>"05"</f>
        <v>05</v>
      </c>
      <c r="G328" s="5">
        <v>0</v>
      </c>
      <c r="H328" s="5" t="s">
        <v>74</v>
      </c>
      <c r="I328" s="5">
        <v>0</v>
      </c>
      <c r="J328" s="5" t="s">
        <v>74</v>
      </c>
      <c r="K328" s="7">
        <v>0</v>
      </c>
      <c r="L328" s="8">
        <v>67</v>
      </c>
      <c r="M328" s="9"/>
    </row>
    <row r="329" s="1" customFormat="1" ht="20.1" customHeight="1" spans="1:13">
      <c r="A329" s="4" t="str">
        <f>"37502022022720192220779"</f>
        <v>37502022022720192220779</v>
      </c>
      <c r="B329" s="4" t="s">
        <v>270</v>
      </c>
      <c r="C329" s="4" t="s">
        <v>344</v>
      </c>
      <c r="D329" s="4" t="str">
        <f>"20220040913"</f>
        <v>20220040913</v>
      </c>
      <c r="E329" s="4" t="str">
        <f>"09"</f>
        <v>09</v>
      </c>
      <c r="F329" s="4" t="str">
        <f>"13"</f>
        <v>13</v>
      </c>
      <c r="G329" s="5">
        <v>0</v>
      </c>
      <c r="H329" s="5" t="s">
        <v>74</v>
      </c>
      <c r="I329" s="5">
        <v>0</v>
      </c>
      <c r="J329" s="5" t="s">
        <v>74</v>
      </c>
      <c r="K329" s="7">
        <v>0</v>
      </c>
      <c r="L329" s="8">
        <v>67</v>
      </c>
      <c r="M329" s="9"/>
    </row>
    <row r="330" s="1" customFormat="1" ht="20.1" customHeight="1" spans="1:13">
      <c r="A330" s="4" t="str">
        <f>"37502022022722291921069"</f>
        <v>37502022022722291921069</v>
      </c>
      <c r="B330" s="4" t="s">
        <v>270</v>
      </c>
      <c r="C330" s="4" t="s">
        <v>47</v>
      </c>
      <c r="D330" s="4" t="str">
        <f>"20220041009"</f>
        <v>20220041009</v>
      </c>
      <c r="E330" s="4" t="str">
        <f t="shared" si="61"/>
        <v>10</v>
      </c>
      <c r="F330" s="4" t="str">
        <f>"09"</f>
        <v>09</v>
      </c>
      <c r="G330" s="5">
        <v>0</v>
      </c>
      <c r="H330" s="5" t="s">
        <v>74</v>
      </c>
      <c r="I330" s="5">
        <v>0</v>
      </c>
      <c r="J330" s="5" t="s">
        <v>74</v>
      </c>
      <c r="K330" s="7">
        <v>0</v>
      </c>
      <c r="L330" s="8">
        <v>67</v>
      </c>
      <c r="M330" s="9"/>
    </row>
    <row r="331" s="1" customFormat="1" ht="20.1" customHeight="1" spans="1:13">
      <c r="A331" s="4" t="str">
        <f>"37502022022810150821579"</f>
        <v>37502022022810150821579</v>
      </c>
      <c r="B331" s="4" t="s">
        <v>270</v>
      </c>
      <c r="C331" s="4" t="s">
        <v>345</v>
      </c>
      <c r="D331" s="4" t="str">
        <f>"20220041022"</f>
        <v>20220041022</v>
      </c>
      <c r="E331" s="4" t="str">
        <f t="shared" si="61"/>
        <v>10</v>
      </c>
      <c r="F331" s="4" t="str">
        <f>"22"</f>
        <v>22</v>
      </c>
      <c r="G331" s="5">
        <v>0</v>
      </c>
      <c r="H331" s="5" t="s">
        <v>74</v>
      </c>
      <c r="I331" s="5">
        <v>0</v>
      </c>
      <c r="J331" s="5" t="s">
        <v>74</v>
      </c>
      <c r="K331" s="7">
        <v>0</v>
      </c>
      <c r="L331" s="8">
        <v>67</v>
      </c>
      <c r="M331" s="9"/>
    </row>
    <row r="332" s="1" customFormat="1" ht="20.1" customHeight="1" spans="1:13">
      <c r="A332" s="4" t="str">
        <f>"37502022022811395521820"</f>
        <v>37502022022811395521820</v>
      </c>
      <c r="B332" s="4" t="s">
        <v>270</v>
      </c>
      <c r="C332" s="4" t="s">
        <v>346</v>
      </c>
      <c r="D332" s="4" t="str">
        <f>"20220041011"</f>
        <v>20220041011</v>
      </c>
      <c r="E332" s="4" t="str">
        <f t="shared" si="61"/>
        <v>10</v>
      </c>
      <c r="F332" s="4" t="str">
        <f>"11"</f>
        <v>11</v>
      </c>
      <c r="G332" s="5">
        <v>0</v>
      </c>
      <c r="H332" s="5" t="s">
        <v>74</v>
      </c>
      <c r="I332" s="5">
        <v>0</v>
      </c>
      <c r="J332" s="5" t="s">
        <v>74</v>
      </c>
      <c r="K332" s="7">
        <v>0</v>
      </c>
      <c r="L332" s="8">
        <v>67</v>
      </c>
      <c r="M332" s="9"/>
    </row>
    <row r="333" s="1" customFormat="1" ht="20.1" customHeight="1" spans="1:13">
      <c r="A333" s="4" t="str">
        <f>"37502022022820190022947"</f>
        <v>37502022022820190022947</v>
      </c>
      <c r="B333" s="4" t="s">
        <v>270</v>
      </c>
      <c r="C333" s="4" t="s">
        <v>202</v>
      </c>
      <c r="D333" s="4" t="str">
        <f>"20220041008"</f>
        <v>20220041008</v>
      </c>
      <c r="E333" s="4" t="str">
        <f t="shared" si="61"/>
        <v>10</v>
      </c>
      <c r="F333" s="4" t="str">
        <f>"08"</f>
        <v>08</v>
      </c>
      <c r="G333" s="5">
        <v>0</v>
      </c>
      <c r="H333" s="5" t="s">
        <v>74</v>
      </c>
      <c r="I333" s="5">
        <v>0</v>
      </c>
      <c r="J333" s="5" t="s">
        <v>74</v>
      </c>
      <c r="K333" s="7">
        <v>0</v>
      </c>
      <c r="L333" s="8">
        <v>67</v>
      </c>
      <c r="M333" s="9"/>
    </row>
    <row r="334" s="1" customFormat="1" ht="20.1" customHeight="1" spans="1:13">
      <c r="A334" s="4" t="str">
        <f>"37502022030111311323539"</f>
        <v>37502022030111311323539</v>
      </c>
      <c r="B334" s="4" t="s">
        <v>270</v>
      </c>
      <c r="C334" s="4" t="s">
        <v>347</v>
      </c>
      <c r="D334" s="4" t="str">
        <f>"20220041006"</f>
        <v>20220041006</v>
      </c>
      <c r="E334" s="4" t="str">
        <f t="shared" si="61"/>
        <v>10</v>
      </c>
      <c r="F334" s="4" t="str">
        <f>"06"</f>
        <v>06</v>
      </c>
      <c r="G334" s="5">
        <v>0</v>
      </c>
      <c r="H334" s="5" t="s">
        <v>74</v>
      </c>
      <c r="I334" s="5">
        <v>0</v>
      </c>
      <c r="J334" s="5" t="s">
        <v>74</v>
      </c>
      <c r="K334" s="7">
        <v>0</v>
      </c>
      <c r="L334" s="8">
        <v>67</v>
      </c>
      <c r="M334" s="9"/>
    </row>
    <row r="335" s="1" customFormat="1" ht="20.1" customHeight="1" spans="1:13">
      <c r="A335" s="4" t="str">
        <f>"37502022030114535323863"</f>
        <v>37502022030114535323863</v>
      </c>
      <c r="B335" s="4" t="s">
        <v>270</v>
      </c>
      <c r="C335" s="4" t="s">
        <v>348</v>
      </c>
      <c r="D335" s="4" t="str">
        <f>"20220041129"</f>
        <v>20220041129</v>
      </c>
      <c r="E335" s="4" t="str">
        <f t="shared" ref="E335:E340" si="62">"11"</f>
        <v>11</v>
      </c>
      <c r="F335" s="4" t="str">
        <f>"29"</f>
        <v>29</v>
      </c>
      <c r="G335" s="5">
        <v>0</v>
      </c>
      <c r="H335" s="5" t="s">
        <v>74</v>
      </c>
      <c r="I335" s="5">
        <v>0</v>
      </c>
      <c r="J335" s="5" t="s">
        <v>74</v>
      </c>
      <c r="K335" s="7">
        <v>0</v>
      </c>
      <c r="L335" s="8">
        <v>67</v>
      </c>
      <c r="M335" s="9"/>
    </row>
    <row r="336" s="1" customFormat="1" ht="20.1" customHeight="1" spans="1:13">
      <c r="A336" s="4" t="str">
        <f>"37502022030115242523916"</f>
        <v>37502022030115242523916</v>
      </c>
      <c r="B336" s="4" t="s">
        <v>270</v>
      </c>
      <c r="C336" s="4" t="s">
        <v>349</v>
      </c>
      <c r="D336" s="4" t="str">
        <f>"20220041025"</f>
        <v>20220041025</v>
      </c>
      <c r="E336" s="4" t="str">
        <f>"10"</f>
        <v>10</v>
      </c>
      <c r="F336" s="4" t="str">
        <f>"25"</f>
        <v>25</v>
      </c>
      <c r="G336" s="5">
        <v>0</v>
      </c>
      <c r="H336" s="5" t="s">
        <v>74</v>
      </c>
      <c r="I336" s="5">
        <v>0</v>
      </c>
      <c r="J336" s="5" t="s">
        <v>74</v>
      </c>
      <c r="K336" s="7">
        <v>0</v>
      </c>
      <c r="L336" s="8">
        <v>67</v>
      </c>
      <c r="M336" s="9"/>
    </row>
    <row r="337" s="1" customFormat="1" ht="20.1" customHeight="1" spans="1:13">
      <c r="A337" s="4" t="str">
        <f>"37502022030115393323936"</f>
        <v>37502022030115393323936</v>
      </c>
      <c r="B337" s="4" t="s">
        <v>270</v>
      </c>
      <c r="C337" s="4" t="s">
        <v>350</v>
      </c>
      <c r="D337" s="4" t="str">
        <f>"20220041122"</f>
        <v>20220041122</v>
      </c>
      <c r="E337" s="4" t="str">
        <f t="shared" si="62"/>
        <v>11</v>
      </c>
      <c r="F337" s="4" t="str">
        <f>"22"</f>
        <v>22</v>
      </c>
      <c r="G337" s="5">
        <v>0</v>
      </c>
      <c r="H337" s="5" t="s">
        <v>74</v>
      </c>
      <c r="I337" s="5">
        <v>0</v>
      </c>
      <c r="J337" s="5" t="s">
        <v>74</v>
      </c>
      <c r="K337" s="7">
        <v>0</v>
      </c>
      <c r="L337" s="8">
        <v>67</v>
      </c>
      <c r="M337" s="9"/>
    </row>
    <row r="338" s="1" customFormat="1" ht="20.1" customHeight="1" spans="1:13">
      <c r="A338" s="4" t="str">
        <f>"37502022030117170924121"</f>
        <v>37502022030117170924121</v>
      </c>
      <c r="B338" s="4" t="s">
        <v>270</v>
      </c>
      <c r="C338" s="4" t="s">
        <v>351</v>
      </c>
      <c r="D338" s="4" t="str">
        <f>"20220040919"</f>
        <v>20220040919</v>
      </c>
      <c r="E338" s="4" t="str">
        <f>"09"</f>
        <v>09</v>
      </c>
      <c r="F338" s="4" t="str">
        <f>"19"</f>
        <v>19</v>
      </c>
      <c r="G338" s="5">
        <v>0</v>
      </c>
      <c r="H338" s="5" t="s">
        <v>74</v>
      </c>
      <c r="I338" s="5">
        <v>0</v>
      </c>
      <c r="J338" s="5" t="s">
        <v>74</v>
      </c>
      <c r="K338" s="7">
        <v>0</v>
      </c>
      <c r="L338" s="8">
        <v>67</v>
      </c>
      <c r="M338" s="9"/>
    </row>
    <row r="339" s="1" customFormat="1" ht="20.1" customHeight="1" spans="1:13">
      <c r="A339" s="4" t="str">
        <f>"37502022030118135724203"</f>
        <v>37502022030118135724203</v>
      </c>
      <c r="B339" s="4" t="s">
        <v>270</v>
      </c>
      <c r="C339" s="4" t="s">
        <v>352</v>
      </c>
      <c r="D339" s="4" t="str">
        <f>"20220041112"</f>
        <v>20220041112</v>
      </c>
      <c r="E339" s="4" t="str">
        <f t="shared" si="62"/>
        <v>11</v>
      </c>
      <c r="F339" s="4" t="str">
        <f>"12"</f>
        <v>12</v>
      </c>
      <c r="G339" s="5">
        <v>0</v>
      </c>
      <c r="H339" s="5" t="s">
        <v>74</v>
      </c>
      <c r="I339" s="5">
        <v>0</v>
      </c>
      <c r="J339" s="5" t="s">
        <v>74</v>
      </c>
      <c r="K339" s="7">
        <v>0</v>
      </c>
      <c r="L339" s="8">
        <v>67</v>
      </c>
      <c r="M339" s="9"/>
    </row>
    <row r="340" s="1" customFormat="1" ht="20.1" customHeight="1" spans="1:13">
      <c r="A340" s="4" t="str">
        <f>"37502022030118263424226"</f>
        <v>37502022030118263424226</v>
      </c>
      <c r="B340" s="4" t="s">
        <v>270</v>
      </c>
      <c r="C340" s="4" t="s">
        <v>353</v>
      </c>
      <c r="D340" s="4" t="str">
        <f>"20220041119"</f>
        <v>20220041119</v>
      </c>
      <c r="E340" s="4" t="str">
        <f t="shared" si="62"/>
        <v>11</v>
      </c>
      <c r="F340" s="4" t="str">
        <f>"19"</f>
        <v>19</v>
      </c>
      <c r="G340" s="5">
        <v>0</v>
      </c>
      <c r="H340" s="5" t="s">
        <v>74</v>
      </c>
      <c r="I340" s="5">
        <v>0</v>
      </c>
      <c r="J340" s="5" t="s">
        <v>74</v>
      </c>
      <c r="K340" s="7">
        <v>0</v>
      </c>
      <c r="L340" s="8">
        <v>67</v>
      </c>
      <c r="M340" s="9"/>
    </row>
    <row r="341" s="1" customFormat="1" ht="20.1" customHeight="1" spans="1:13">
      <c r="A341" s="4" t="str">
        <f>"37502022030118581424291"</f>
        <v>37502022030118581424291</v>
      </c>
      <c r="B341" s="4" t="s">
        <v>270</v>
      </c>
      <c r="C341" s="4" t="s">
        <v>354</v>
      </c>
      <c r="D341" s="4" t="str">
        <f>"20220041208"</f>
        <v>20220041208</v>
      </c>
      <c r="E341" s="4" t="str">
        <f>"12"</f>
        <v>12</v>
      </c>
      <c r="F341" s="4" t="str">
        <f>"08"</f>
        <v>08</v>
      </c>
      <c r="G341" s="5">
        <v>0</v>
      </c>
      <c r="H341" s="5" t="s">
        <v>74</v>
      </c>
      <c r="I341" s="5">
        <v>0</v>
      </c>
      <c r="J341" s="5" t="s">
        <v>74</v>
      </c>
      <c r="K341" s="7">
        <v>0</v>
      </c>
      <c r="L341" s="8">
        <v>67</v>
      </c>
      <c r="M341" s="9"/>
    </row>
    <row r="342" s="1" customFormat="1" ht="20.1" customHeight="1" spans="1:13">
      <c r="A342" s="4" t="str">
        <f>"37502022030122131424663"</f>
        <v>37502022030122131424663</v>
      </c>
      <c r="B342" s="4" t="s">
        <v>270</v>
      </c>
      <c r="C342" s="4" t="s">
        <v>241</v>
      </c>
      <c r="D342" s="4" t="str">
        <f>"20220041015"</f>
        <v>20220041015</v>
      </c>
      <c r="E342" s="4" t="str">
        <f t="shared" ref="E342:E345" si="63">"10"</f>
        <v>10</v>
      </c>
      <c r="F342" s="4" t="str">
        <f>"15"</f>
        <v>15</v>
      </c>
      <c r="G342" s="5">
        <v>0</v>
      </c>
      <c r="H342" s="5" t="s">
        <v>74</v>
      </c>
      <c r="I342" s="5">
        <v>0</v>
      </c>
      <c r="J342" s="5" t="s">
        <v>74</v>
      </c>
      <c r="K342" s="7">
        <v>0</v>
      </c>
      <c r="L342" s="8">
        <v>67</v>
      </c>
      <c r="M342" s="9"/>
    </row>
    <row r="343" s="1" customFormat="1" ht="20.1" customHeight="1" spans="1:13">
      <c r="A343" s="4" t="str">
        <f>"37502022030123093624730"</f>
        <v>37502022030123093624730</v>
      </c>
      <c r="B343" s="4" t="s">
        <v>270</v>
      </c>
      <c r="C343" s="4" t="s">
        <v>355</v>
      </c>
      <c r="D343" s="4" t="str">
        <f>"20220041024"</f>
        <v>20220041024</v>
      </c>
      <c r="E343" s="4" t="str">
        <f t="shared" si="63"/>
        <v>10</v>
      </c>
      <c r="F343" s="4" t="str">
        <f>"24"</f>
        <v>24</v>
      </c>
      <c r="G343" s="5">
        <v>0</v>
      </c>
      <c r="H343" s="5" t="s">
        <v>74</v>
      </c>
      <c r="I343" s="5">
        <v>0</v>
      </c>
      <c r="J343" s="5" t="s">
        <v>74</v>
      </c>
      <c r="K343" s="7">
        <v>0</v>
      </c>
      <c r="L343" s="8">
        <v>67</v>
      </c>
      <c r="M343" s="9"/>
    </row>
    <row r="344" s="1" customFormat="1" ht="20.1" customHeight="1" spans="1:13">
      <c r="A344" s="4" t="str">
        <f>"37502022030207370124797"</f>
        <v>37502022030207370124797</v>
      </c>
      <c r="B344" s="4" t="s">
        <v>270</v>
      </c>
      <c r="C344" s="4" t="s">
        <v>356</v>
      </c>
      <c r="D344" s="4" t="str">
        <f>"20220040927"</f>
        <v>20220040927</v>
      </c>
      <c r="E344" s="4" t="str">
        <f>"09"</f>
        <v>09</v>
      </c>
      <c r="F344" s="4" t="str">
        <f>"27"</f>
        <v>27</v>
      </c>
      <c r="G344" s="5">
        <v>0</v>
      </c>
      <c r="H344" s="5" t="s">
        <v>74</v>
      </c>
      <c r="I344" s="5">
        <v>0</v>
      </c>
      <c r="J344" s="5" t="s">
        <v>74</v>
      </c>
      <c r="K344" s="7">
        <v>0</v>
      </c>
      <c r="L344" s="8">
        <v>67</v>
      </c>
      <c r="M344" s="9"/>
    </row>
    <row r="345" s="1" customFormat="1" ht="20.1" customHeight="1" spans="1:13">
      <c r="A345" s="4" t="str">
        <f>"37502022030212433125225"</f>
        <v>37502022030212433125225</v>
      </c>
      <c r="B345" s="4" t="s">
        <v>270</v>
      </c>
      <c r="C345" s="4" t="s">
        <v>357</v>
      </c>
      <c r="D345" s="4" t="str">
        <f>"20220041020"</f>
        <v>20220041020</v>
      </c>
      <c r="E345" s="4" t="str">
        <f t="shared" si="63"/>
        <v>10</v>
      </c>
      <c r="F345" s="4" t="str">
        <f>"20"</f>
        <v>20</v>
      </c>
      <c r="G345" s="5">
        <v>0</v>
      </c>
      <c r="H345" s="5" t="s">
        <v>74</v>
      </c>
      <c r="I345" s="5">
        <v>0</v>
      </c>
      <c r="J345" s="5" t="s">
        <v>74</v>
      </c>
      <c r="K345" s="7">
        <v>0</v>
      </c>
      <c r="L345" s="8">
        <v>67</v>
      </c>
      <c r="M345" s="9"/>
    </row>
    <row r="346" s="1" customFormat="1" ht="20.1" customHeight="1" spans="1:13">
      <c r="A346" s="4" t="str">
        <f>"37502022030218392225721"</f>
        <v>37502022030218392225721</v>
      </c>
      <c r="B346" s="4" t="s">
        <v>270</v>
      </c>
      <c r="C346" s="4" t="s">
        <v>358</v>
      </c>
      <c r="D346" s="4" t="str">
        <f>"20220041114"</f>
        <v>20220041114</v>
      </c>
      <c r="E346" s="4" t="str">
        <f>"11"</f>
        <v>11</v>
      </c>
      <c r="F346" s="4" t="str">
        <f>"14"</f>
        <v>14</v>
      </c>
      <c r="G346" s="5">
        <v>0</v>
      </c>
      <c r="H346" s="5" t="s">
        <v>74</v>
      </c>
      <c r="I346" s="5">
        <v>0</v>
      </c>
      <c r="J346" s="5" t="s">
        <v>74</v>
      </c>
      <c r="K346" s="7">
        <v>0</v>
      </c>
      <c r="L346" s="8">
        <v>67</v>
      </c>
      <c r="M346" s="9"/>
    </row>
    <row r="347" s="1" customFormat="1" ht="20.1" customHeight="1" spans="1:13">
      <c r="A347" s="4" t="str">
        <f>"37502022030115201923905"</f>
        <v>37502022030115201923905</v>
      </c>
      <c r="B347" s="4" t="s">
        <v>359</v>
      </c>
      <c r="C347" s="4" t="s">
        <v>360</v>
      </c>
      <c r="D347" s="4" t="str">
        <f>"20220051503"</f>
        <v>20220051503</v>
      </c>
      <c r="E347" s="4" t="str">
        <f t="shared" ref="E347:E350" si="64">"15"</f>
        <v>15</v>
      </c>
      <c r="F347" s="4" t="str">
        <f>"03"</f>
        <v>03</v>
      </c>
      <c r="G347" s="5">
        <v>87.6</v>
      </c>
      <c r="H347" s="5" t="s">
        <v>14</v>
      </c>
      <c r="I347" s="5">
        <v>84.5</v>
      </c>
      <c r="J347" s="5" t="s">
        <v>14</v>
      </c>
      <c r="K347" s="7">
        <v>85.43</v>
      </c>
      <c r="L347" s="8">
        <v>1</v>
      </c>
      <c r="M347" s="9"/>
    </row>
    <row r="348" s="1" customFormat="1" ht="20.1" customHeight="1" spans="1:13">
      <c r="A348" s="4" t="str">
        <f>"37502022022821264423006"</f>
        <v>37502022022821264423006</v>
      </c>
      <c r="B348" s="4" t="s">
        <v>359</v>
      </c>
      <c r="C348" s="4" t="s">
        <v>361</v>
      </c>
      <c r="D348" s="4" t="str">
        <f>"20220051218"</f>
        <v>20220051218</v>
      </c>
      <c r="E348" s="4" t="str">
        <f>"12"</f>
        <v>12</v>
      </c>
      <c r="F348" s="4" t="str">
        <f>"18"</f>
        <v>18</v>
      </c>
      <c r="G348" s="5">
        <v>78.28</v>
      </c>
      <c r="H348" s="5" t="s">
        <v>14</v>
      </c>
      <c r="I348" s="5">
        <v>84.9</v>
      </c>
      <c r="J348" s="5" t="s">
        <v>14</v>
      </c>
      <c r="K348" s="7">
        <v>82.91</v>
      </c>
      <c r="L348" s="8">
        <v>2</v>
      </c>
      <c r="M348" s="9"/>
    </row>
    <row r="349" s="1" customFormat="1" ht="20.1" customHeight="1" spans="1:13">
      <c r="A349" s="4" t="str">
        <f>"37502022030121005724534"</f>
        <v>37502022030121005724534</v>
      </c>
      <c r="B349" s="4" t="s">
        <v>359</v>
      </c>
      <c r="C349" s="4" t="s">
        <v>362</v>
      </c>
      <c r="D349" s="4" t="str">
        <f>"20220051504"</f>
        <v>20220051504</v>
      </c>
      <c r="E349" s="4" t="str">
        <f t="shared" si="64"/>
        <v>15</v>
      </c>
      <c r="F349" s="4" t="str">
        <f>"04"</f>
        <v>04</v>
      </c>
      <c r="G349" s="5">
        <v>77.8</v>
      </c>
      <c r="H349" s="5" t="s">
        <v>14</v>
      </c>
      <c r="I349" s="5">
        <v>83.6</v>
      </c>
      <c r="J349" s="5" t="s">
        <v>14</v>
      </c>
      <c r="K349" s="7">
        <v>81.86</v>
      </c>
      <c r="L349" s="8">
        <v>3</v>
      </c>
      <c r="M349" s="9"/>
    </row>
    <row r="350" s="1" customFormat="1" ht="20.1" customHeight="1" spans="1:13">
      <c r="A350" s="4" t="str">
        <f>"37502022022610095918842"</f>
        <v>37502022022610095918842</v>
      </c>
      <c r="B350" s="4" t="s">
        <v>359</v>
      </c>
      <c r="C350" s="4" t="s">
        <v>363</v>
      </c>
      <c r="D350" s="4" t="str">
        <f>"20220051510"</f>
        <v>20220051510</v>
      </c>
      <c r="E350" s="4" t="str">
        <f t="shared" si="64"/>
        <v>15</v>
      </c>
      <c r="F350" s="4" t="str">
        <f>"10"</f>
        <v>10</v>
      </c>
      <c r="G350" s="5">
        <v>81.15</v>
      </c>
      <c r="H350" s="5" t="s">
        <v>14</v>
      </c>
      <c r="I350" s="5">
        <v>81.8</v>
      </c>
      <c r="J350" s="5" t="s">
        <v>14</v>
      </c>
      <c r="K350" s="7">
        <v>81.61</v>
      </c>
      <c r="L350" s="8">
        <v>4</v>
      </c>
      <c r="M350" s="9"/>
    </row>
    <row r="351" s="1" customFormat="1" ht="20.1" customHeight="1" spans="1:13">
      <c r="A351" s="4" t="str">
        <f>"37502022022610165518885"</f>
        <v>37502022022610165518885</v>
      </c>
      <c r="B351" s="4" t="s">
        <v>359</v>
      </c>
      <c r="C351" s="4" t="s">
        <v>364</v>
      </c>
      <c r="D351" s="4" t="str">
        <f>"20220051414"</f>
        <v>20220051414</v>
      </c>
      <c r="E351" s="4" t="str">
        <f>"14"</f>
        <v>14</v>
      </c>
      <c r="F351" s="4" t="str">
        <f>"14"</f>
        <v>14</v>
      </c>
      <c r="G351" s="5">
        <v>84.22</v>
      </c>
      <c r="H351" s="5" t="s">
        <v>14</v>
      </c>
      <c r="I351" s="5">
        <v>79.5</v>
      </c>
      <c r="J351" s="5" t="s">
        <v>14</v>
      </c>
      <c r="K351" s="7">
        <v>80.92</v>
      </c>
      <c r="L351" s="8">
        <v>5</v>
      </c>
      <c r="M351" s="9"/>
    </row>
    <row r="352" s="1" customFormat="1" ht="20.1" customHeight="1" spans="1:13">
      <c r="A352" s="4" t="str">
        <f>"37502022030107524823109"</f>
        <v>37502022030107524823109</v>
      </c>
      <c r="B352" s="4" t="s">
        <v>359</v>
      </c>
      <c r="C352" s="4" t="s">
        <v>365</v>
      </c>
      <c r="D352" s="4" t="str">
        <f>"20220051421"</f>
        <v>20220051421</v>
      </c>
      <c r="E352" s="4" t="str">
        <f>"14"</f>
        <v>14</v>
      </c>
      <c r="F352" s="4" t="str">
        <f>"21"</f>
        <v>21</v>
      </c>
      <c r="G352" s="5">
        <v>82.13</v>
      </c>
      <c r="H352" s="5" t="s">
        <v>14</v>
      </c>
      <c r="I352" s="5">
        <v>80</v>
      </c>
      <c r="J352" s="5" t="s">
        <v>14</v>
      </c>
      <c r="K352" s="7">
        <v>80.64</v>
      </c>
      <c r="L352" s="8">
        <v>6</v>
      </c>
      <c r="M352" s="9"/>
    </row>
    <row r="353" s="1" customFormat="1" ht="20.1" customHeight="1" spans="1:13">
      <c r="A353" s="4" t="str">
        <f>"37502022022610085618837"</f>
        <v>37502022022610085618837</v>
      </c>
      <c r="B353" s="4" t="s">
        <v>359</v>
      </c>
      <c r="C353" s="4" t="s">
        <v>366</v>
      </c>
      <c r="D353" s="4" t="str">
        <f>"20220051325"</f>
        <v>20220051325</v>
      </c>
      <c r="E353" s="4" t="str">
        <f t="shared" ref="E353:E356" si="65">"13"</f>
        <v>13</v>
      </c>
      <c r="F353" s="4" t="str">
        <f>"25"</f>
        <v>25</v>
      </c>
      <c r="G353" s="5">
        <v>77.06</v>
      </c>
      <c r="H353" s="5" t="s">
        <v>14</v>
      </c>
      <c r="I353" s="5">
        <v>81.4</v>
      </c>
      <c r="J353" s="5" t="s">
        <v>14</v>
      </c>
      <c r="K353" s="7">
        <v>80.1</v>
      </c>
      <c r="L353" s="8">
        <v>7</v>
      </c>
      <c r="M353" s="9"/>
    </row>
    <row r="354" s="1" customFormat="1" ht="20.1" customHeight="1" spans="1:13">
      <c r="A354" s="4" t="str">
        <f>"37502022030107532723110"</f>
        <v>37502022030107532723110</v>
      </c>
      <c r="B354" s="4" t="s">
        <v>359</v>
      </c>
      <c r="C354" s="4" t="s">
        <v>367</v>
      </c>
      <c r="D354" s="4" t="str">
        <f>"20220051227"</f>
        <v>20220051227</v>
      </c>
      <c r="E354" s="4" t="str">
        <f>"12"</f>
        <v>12</v>
      </c>
      <c r="F354" s="4" t="str">
        <f>"27"</f>
        <v>27</v>
      </c>
      <c r="G354" s="5">
        <v>77.13</v>
      </c>
      <c r="H354" s="5" t="s">
        <v>14</v>
      </c>
      <c r="I354" s="5">
        <v>81</v>
      </c>
      <c r="J354" s="5" t="s">
        <v>14</v>
      </c>
      <c r="K354" s="7">
        <v>79.84</v>
      </c>
      <c r="L354" s="8">
        <v>8</v>
      </c>
      <c r="M354" s="9"/>
    </row>
    <row r="355" s="1" customFormat="1" ht="20.1" customHeight="1" spans="1:13">
      <c r="A355" s="4" t="str">
        <f>"37502022022610155018878"</f>
        <v>37502022022610155018878</v>
      </c>
      <c r="B355" s="4" t="s">
        <v>359</v>
      </c>
      <c r="C355" s="4" t="s">
        <v>368</v>
      </c>
      <c r="D355" s="4" t="str">
        <f>"20220051305"</f>
        <v>20220051305</v>
      </c>
      <c r="E355" s="4" t="str">
        <f t="shared" si="65"/>
        <v>13</v>
      </c>
      <c r="F355" s="4" t="str">
        <f>"05"</f>
        <v>05</v>
      </c>
      <c r="G355" s="5">
        <v>67.86</v>
      </c>
      <c r="H355" s="5" t="s">
        <v>14</v>
      </c>
      <c r="I355" s="5">
        <v>84.2</v>
      </c>
      <c r="J355" s="5" t="s">
        <v>14</v>
      </c>
      <c r="K355" s="7">
        <v>79.3</v>
      </c>
      <c r="L355" s="8">
        <v>9</v>
      </c>
      <c r="M355" s="9"/>
    </row>
    <row r="356" s="1" customFormat="1" ht="20.1" customHeight="1" spans="1:13">
      <c r="A356" s="4" t="str">
        <f>"37502022022620422119635"</f>
        <v>37502022022620422119635</v>
      </c>
      <c r="B356" s="4" t="s">
        <v>359</v>
      </c>
      <c r="C356" s="4" t="s">
        <v>369</v>
      </c>
      <c r="D356" s="4" t="str">
        <f>"20220051322"</f>
        <v>20220051322</v>
      </c>
      <c r="E356" s="4" t="str">
        <f t="shared" si="65"/>
        <v>13</v>
      </c>
      <c r="F356" s="4" t="str">
        <f>"22"</f>
        <v>22</v>
      </c>
      <c r="G356" s="5">
        <v>77.56</v>
      </c>
      <c r="H356" s="5" t="s">
        <v>14</v>
      </c>
      <c r="I356" s="5">
        <v>79.9</v>
      </c>
      <c r="J356" s="5" t="s">
        <v>14</v>
      </c>
      <c r="K356" s="7">
        <v>79.2</v>
      </c>
      <c r="L356" s="8">
        <v>10</v>
      </c>
      <c r="M356" s="9"/>
    </row>
    <row r="357" s="1" customFormat="1" ht="20.1" customHeight="1" spans="1:13">
      <c r="A357" s="4" t="str">
        <f>"37502022022810581521714"</f>
        <v>37502022022810581521714</v>
      </c>
      <c r="B357" s="4" t="s">
        <v>359</v>
      </c>
      <c r="C357" s="4" t="s">
        <v>370</v>
      </c>
      <c r="D357" s="4" t="str">
        <f>"20220051417"</f>
        <v>20220051417</v>
      </c>
      <c r="E357" s="4" t="str">
        <f>"14"</f>
        <v>14</v>
      </c>
      <c r="F357" s="4" t="str">
        <f>"17"</f>
        <v>17</v>
      </c>
      <c r="G357" s="5">
        <v>79.6</v>
      </c>
      <c r="H357" s="5" t="s">
        <v>14</v>
      </c>
      <c r="I357" s="5">
        <v>78.4</v>
      </c>
      <c r="J357" s="5" t="s">
        <v>14</v>
      </c>
      <c r="K357" s="7">
        <v>78.76</v>
      </c>
      <c r="L357" s="8">
        <v>11</v>
      </c>
      <c r="M357" s="9"/>
    </row>
    <row r="358" s="1" customFormat="1" ht="20.1" customHeight="1" spans="1:13">
      <c r="A358" s="4" t="str">
        <f>"37502022030120462224505"</f>
        <v>37502022030120462224505</v>
      </c>
      <c r="B358" s="4" t="s">
        <v>359</v>
      </c>
      <c r="C358" s="4" t="s">
        <v>371</v>
      </c>
      <c r="D358" s="4" t="str">
        <f>"20220051306"</f>
        <v>20220051306</v>
      </c>
      <c r="E358" s="4" t="str">
        <f t="shared" ref="E358:E362" si="66">"13"</f>
        <v>13</v>
      </c>
      <c r="F358" s="4" t="str">
        <f>"06"</f>
        <v>06</v>
      </c>
      <c r="G358" s="5">
        <v>70.14</v>
      </c>
      <c r="H358" s="5" t="s">
        <v>14</v>
      </c>
      <c r="I358" s="5">
        <v>82.3</v>
      </c>
      <c r="J358" s="5" t="s">
        <v>14</v>
      </c>
      <c r="K358" s="7">
        <v>78.65</v>
      </c>
      <c r="L358" s="8">
        <v>12</v>
      </c>
      <c r="M358" s="9"/>
    </row>
    <row r="359" s="1" customFormat="1" ht="20.1" customHeight="1" spans="1:13">
      <c r="A359" s="4" t="str">
        <f>"37502022022809402121492"</f>
        <v>37502022022809402121492</v>
      </c>
      <c r="B359" s="4" t="s">
        <v>359</v>
      </c>
      <c r="C359" s="4" t="s">
        <v>372</v>
      </c>
      <c r="D359" s="4" t="str">
        <f>"20220051307"</f>
        <v>20220051307</v>
      </c>
      <c r="E359" s="4" t="str">
        <f t="shared" si="66"/>
        <v>13</v>
      </c>
      <c r="F359" s="4" t="str">
        <f>"07"</f>
        <v>07</v>
      </c>
      <c r="G359" s="5">
        <v>80.44</v>
      </c>
      <c r="H359" s="5" t="s">
        <v>14</v>
      </c>
      <c r="I359" s="5">
        <v>77.5</v>
      </c>
      <c r="J359" s="5" t="s">
        <v>14</v>
      </c>
      <c r="K359" s="7">
        <v>78.38</v>
      </c>
      <c r="L359" s="8">
        <v>13</v>
      </c>
      <c r="M359" s="9"/>
    </row>
    <row r="360" s="1" customFormat="1" ht="20.1" customHeight="1" spans="1:13">
      <c r="A360" s="4" t="str">
        <f>"37502022030118274524227"</f>
        <v>37502022030118274524227</v>
      </c>
      <c r="B360" s="4" t="s">
        <v>359</v>
      </c>
      <c r="C360" s="4" t="s">
        <v>373</v>
      </c>
      <c r="D360" s="4" t="str">
        <f>"20220051317"</f>
        <v>20220051317</v>
      </c>
      <c r="E360" s="4" t="str">
        <f t="shared" si="66"/>
        <v>13</v>
      </c>
      <c r="F360" s="4" t="str">
        <f>"17"</f>
        <v>17</v>
      </c>
      <c r="G360" s="5">
        <v>76.42</v>
      </c>
      <c r="H360" s="5" t="s">
        <v>14</v>
      </c>
      <c r="I360" s="5">
        <v>79.1</v>
      </c>
      <c r="J360" s="5" t="s">
        <v>14</v>
      </c>
      <c r="K360" s="7">
        <v>78.3</v>
      </c>
      <c r="L360" s="8">
        <v>14</v>
      </c>
      <c r="M360" s="9"/>
    </row>
    <row r="361" s="1" customFormat="1" ht="20.1" customHeight="1" spans="1:13">
      <c r="A361" s="4" t="str">
        <f>"37502022022721431520965"</f>
        <v>37502022022721431520965</v>
      </c>
      <c r="B361" s="4" t="s">
        <v>359</v>
      </c>
      <c r="C361" s="4" t="s">
        <v>374</v>
      </c>
      <c r="D361" s="4" t="str">
        <f>"20220051308"</f>
        <v>20220051308</v>
      </c>
      <c r="E361" s="4" t="str">
        <f t="shared" si="66"/>
        <v>13</v>
      </c>
      <c r="F361" s="4" t="str">
        <f>"08"</f>
        <v>08</v>
      </c>
      <c r="G361" s="5">
        <v>74.57</v>
      </c>
      <c r="H361" s="5" t="s">
        <v>14</v>
      </c>
      <c r="I361" s="5">
        <v>78.9</v>
      </c>
      <c r="J361" s="5" t="s">
        <v>14</v>
      </c>
      <c r="K361" s="7">
        <v>77.6</v>
      </c>
      <c r="L361" s="8">
        <v>15</v>
      </c>
      <c r="M361" s="9"/>
    </row>
    <row r="362" s="1" customFormat="1" ht="20.1" customHeight="1" spans="1:13">
      <c r="A362" s="4" t="str">
        <f>"37502022022823070923074"</f>
        <v>37502022022823070923074</v>
      </c>
      <c r="B362" s="4" t="s">
        <v>359</v>
      </c>
      <c r="C362" s="4" t="s">
        <v>375</v>
      </c>
      <c r="D362" s="4" t="str">
        <f>"20220051326"</f>
        <v>20220051326</v>
      </c>
      <c r="E362" s="4" t="str">
        <f t="shared" si="66"/>
        <v>13</v>
      </c>
      <c r="F362" s="4" t="str">
        <f>"26"</f>
        <v>26</v>
      </c>
      <c r="G362" s="5">
        <v>73.38</v>
      </c>
      <c r="H362" s="5" t="s">
        <v>14</v>
      </c>
      <c r="I362" s="5">
        <v>79.4</v>
      </c>
      <c r="J362" s="5" t="s">
        <v>14</v>
      </c>
      <c r="K362" s="7">
        <v>77.59</v>
      </c>
      <c r="L362" s="8">
        <v>16</v>
      </c>
      <c r="M362" s="9"/>
    </row>
    <row r="363" s="1" customFormat="1" ht="20.1" customHeight="1" spans="1:13">
      <c r="A363" s="4" t="str">
        <f>"37502022022609413818767"</f>
        <v>37502022022609413818767</v>
      </c>
      <c r="B363" s="4" t="s">
        <v>359</v>
      </c>
      <c r="C363" s="4" t="s">
        <v>376</v>
      </c>
      <c r="D363" s="4" t="str">
        <f>"20220051410"</f>
        <v>20220051410</v>
      </c>
      <c r="E363" s="4" t="str">
        <f t="shared" ref="E363:E367" si="67">"14"</f>
        <v>14</v>
      </c>
      <c r="F363" s="4" t="str">
        <f>"10"</f>
        <v>10</v>
      </c>
      <c r="G363" s="5">
        <v>75.97</v>
      </c>
      <c r="H363" s="5" t="s">
        <v>14</v>
      </c>
      <c r="I363" s="5">
        <v>77.4</v>
      </c>
      <c r="J363" s="5" t="s">
        <v>14</v>
      </c>
      <c r="K363" s="7">
        <v>76.97</v>
      </c>
      <c r="L363" s="8">
        <v>17</v>
      </c>
      <c r="M363" s="9"/>
    </row>
    <row r="364" s="1" customFormat="1" ht="20.1" customHeight="1" spans="1:13">
      <c r="A364" s="4" t="str">
        <f>"37502022022814063822207"</f>
        <v>37502022022814063822207</v>
      </c>
      <c r="B364" s="4" t="s">
        <v>359</v>
      </c>
      <c r="C364" s="4" t="s">
        <v>377</v>
      </c>
      <c r="D364" s="4" t="str">
        <f>"20220051408"</f>
        <v>20220051408</v>
      </c>
      <c r="E364" s="4" t="str">
        <f t="shared" si="67"/>
        <v>14</v>
      </c>
      <c r="F364" s="4" t="str">
        <f>"08"</f>
        <v>08</v>
      </c>
      <c r="G364" s="5">
        <v>80.32</v>
      </c>
      <c r="H364" s="5" t="s">
        <v>14</v>
      </c>
      <c r="I364" s="5">
        <v>75.3</v>
      </c>
      <c r="J364" s="5" t="s">
        <v>14</v>
      </c>
      <c r="K364" s="7">
        <v>76.81</v>
      </c>
      <c r="L364" s="8">
        <v>18</v>
      </c>
      <c r="M364" s="9"/>
    </row>
    <row r="365" s="1" customFormat="1" ht="20.1" customHeight="1" spans="1:13">
      <c r="A365" s="4" t="str">
        <f>"37502022022815131522428"</f>
        <v>37502022022815131522428</v>
      </c>
      <c r="B365" s="4" t="s">
        <v>359</v>
      </c>
      <c r="C365" s="4" t="s">
        <v>378</v>
      </c>
      <c r="D365" s="4" t="str">
        <f>"20220051301"</f>
        <v>20220051301</v>
      </c>
      <c r="E365" s="4" t="str">
        <f>"13"</f>
        <v>13</v>
      </c>
      <c r="F365" s="4" t="str">
        <f>"01"</f>
        <v>01</v>
      </c>
      <c r="G365" s="5">
        <v>80.6</v>
      </c>
      <c r="H365" s="5" t="s">
        <v>14</v>
      </c>
      <c r="I365" s="5">
        <v>74.9</v>
      </c>
      <c r="J365" s="5" t="s">
        <v>14</v>
      </c>
      <c r="K365" s="7">
        <v>76.61</v>
      </c>
      <c r="L365" s="8">
        <v>19</v>
      </c>
      <c r="M365" s="9"/>
    </row>
    <row r="366" s="1" customFormat="1" ht="20.1" customHeight="1" spans="1:13">
      <c r="A366" s="4" t="str">
        <f>"37502022022816502022746"</f>
        <v>37502022022816502022746</v>
      </c>
      <c r="B366" s="4" t="s">
        <v>359</v>
      </c>
      <c r="C366" s="4" t="s">
        <v>379</v>
      </c>
      <c r="D366" s="4" t="str">
        <f>"20220051427"</f>
        <v>20220051427</v>
      </c>
      <c r="E366" s="4" t="str">
        <f t="shared" si="67"/>
        <v>14</v>
      </c>
      <c r="F366" s="4" t="str">
        <f>"27"</f>
        <v>27</v>
      </c>
      <c r="G366" s="5">
        <v>80.45</v>
      </c>
      <c r="H366" s="5" t="s">
        <v>14</v>
      </c>
      <c r="I366" s="5">
        <v>74.1</v>
      </c>
      <c r="J366" s="5" t="s">
        <v>14</v>
      </c>
      <c r="K366" s="7">
        <v>76.01</v>
      </c>
      <c r="L366" s="8">
        <v>20</v>
      </c>
      <c r="M366" s="9"/>
    </row>
    <row r="367" s="1" customFormat="1" ht="20.1" customHeight="1" spans="1:13">
      <c r="A367" s="4" t="str">
        <f>"37502022022623073419810"</f>
        <v>37502022022623073419810</v>
      </c>
      <c r="B367" s="4" t="s">
        <v>359</v>
      </c>
      <c r="C367" s="4" t="s">
        <v>380</v>
      </c>
      <c r="D367" s="4" t="str">
        <f>"20220051425"</f>
        <v>20220051425</v>
      </c>
      <c r="E367" s="4" t="str">
        <f t="shared" si="67"/>
        <v>14</v>
      </c>
      <c r="F367" s="4" t="str">
        <f>"25"</f>
        <v>25</v>
      </c>
      <c r="G367" s="5">
        <v>77.8</v>
      </c>
      <c r="H367" s="5" t="s">
        <v>14</v>
      </c>
      <c r="I367" s="5">
        <v>74.7</v>
      </c>
      <c r="J367" s="5" t="s">
        <v>14</v>
      </c>
      <c r="K367" s="7">
        <v>75.63</v>
      </c>
      <c r="L367" s="8">
        <v>21</v>
      </c>
      <c r="M367" s="9"/>
    </row>
    <row r="368" s="1" customFormat="1" ht="20.1" customHeight="1" spans="1:13">
      <c r="A368" s="4" t="str">
        <f>"37502022022609405418762"</f>
        <v>37502022022609405418762</v>
      </c>
      <c r="B368" s="4" t="s">
        <v>359</v>
      </c>
      <c r="C368" s="4" t="s">
        <v>381</v>
      </c>
      <c r="D368" s="4" t="str">
        <f>"20220051323"</f>
        <v>20220051323</v>
      </c>
      <c r="E368" s="4" t="str">
        <f>"13"</f>
        <v>13</v>
      </c>
      <c r="F368" s="4" t="str">
        <f>"23"</f>
        <v>23</v>
      </c>
      <c r="G368" s="5">
        <v>71.34</v>
      </c>
      <c r="H368" s="5" t="s">
        <v>14</v>
      </c>
      <c r="I368" s="5">
        <v>77.4</v>
      </c>
      <c r="J368" s="5" t="s">
        <v>14</v>
      </c>
      <c r="K368" s="7">
        <v>75.58</v>
      </c>
      <c r="L368" s="8">
        <v>22</v>
      </c>
      <c r="M368" s="9"/>
    </row>
    <row r="369" s="1" customFormat="1" ht="20.1" customHeight="1" spans="1:13">
      <c r="A369" s="4" t="str">
        <f>"37502022030110305123403"</f>
        <v>37502022030110305123403</v>
      </c>
      <c r="B369" s="4" t="s">
        <v>359</v>
      </c>
      <c r="C369" s="4" t="s">
        <v>382</v>
      </c>
      <c r="D369" s="4" t="str">
        <f>"20220051418"</f>
        <v>20220051418</v>
      </c>
      <c r="E369" s="4" t="str">
        <f>"14"</f>
        <v>14</v>
      </c>
      <c r="F369" s="4" t="str">
        <f>"18"</f>
        <v>18</v>
      </c>
      <c r="G369" s="5">
        <v>73.87</v>
      </c>
      <c r="H369" s="5" t="s">
        <v>14</v>
      </c>
      <c r="I369" s="5">
        <v>75.4</v>
      </c>
      <c r="J369" s="5" t="s">
        <v>14</v>
      </c>
      <c r="K369" s="7">
        <v>74.94</v>
      </c>
      <c r="L369" s="8">
        <v>23</v>
      </c>
      <c r="M369" s="9"/>
    </row>
    <row r="370" s="1" customFormat="1" ht="20.1" customHeight="1" spans="1:13">
      <c r="A370" s="4" t="str">
        <f>"37502022030216591725587"</f>
        <v>37502022030216591725587</v>
      </c>
      <c r="B370" s="4" t="s">
        <v>359</v>
      </c>
      <c r="C370" s="4" t="s">
        <v>383</v>
      </c>
      <c r="D370" s="4" t="str">
        <f>"20220051230"</f>
        <v>20220051230</v>
      </c>
      <c r="E370" s="4" t="str">
        <f t="shared" ref="E370:E374" si="68">"12"</f>
        <v>12</v>
      </c>
      <c r="F370" s="4" t="str">
        <f>"30"</f>
        <v>30</v>
      </c>
      <c r="G370" s="5">
        <v>79.29</v>
      </c>
      <c r="H370" s="5" t="s">
        <v>14</v>
      </c>
      <c r="I370" s="5">
        <v>72.7</v>
      </c>
      <c r="J370" s="5" t="s">
        <v>14</v>
      </c>
      <c r="K370" s="7">
        <v>74.68</v>
      </c>
      <c r="L370" s="8">
        <v>24</v>
      </c>
      <c r="M370" s="9"/>
    </row>
    <row r="371" s="1" customFormat="1" ht="20.1" customHeight="1" spans="1:13">
      <c r="A371" s="4" t="str">
        <f>"37502022030116361224029"</f>
        <v>37502022030116361224029</v>
      </c>
      <c r="B371" s="4" t="s">
        <v>359</v>
      </c>
      <c r="C371" s="4" t="s">
        <v>384</v>
      </c>
      <c r="D371" s="4" t="str">
        <f>"20220051226"</f>
        <v>20220051226</v>
      </c>
      <c r="E371" s="4" t="str">
        <f t="shared" si="68"/>
        <v>12</v>
      </c>
      <c r="F371" s="4" t="str">
        <f>"26"</f>
        <v>26</v>
      </c>
      <c r="G371" s="5">
        <v>71.1</v>
      </c>
      <c r="H371" s="5" t="s">
        <v>14</v>
      </c>
      <c r="I371" s="5">
        <v>74.9</v>
      </c>
      <c r="J371" s="5" t="s">
        <v>14</v>
      </c>
      <c r="K371" s="7">
        <v>73.76</v>
      </c>
      <c r="L371" s="8">
        <v>25</v>
      </c>
      <c r="M371" s="9"/>
    </row>
    <row r="372" s="1" customFormat="1" ht="20.1" customHeight="1" spans="1:13">
      <c r="A372" s="4" t="str">
        <f>"37502022022713404320183"</f>
        <v>37502022022713404320183</v>
      </c>
      <c r="B372" s="4" t="s">
        <v>359</v>
      </c>
      <c r="C372" s="4" t="s">
        <v>385</v>
      </c>
      <c r="D372" s="4" t="str">
        <f>"20220051509"</f>
        <v>20220051509</v>
      </c>
      <c r="E372" s="4" t="str">
        <f>"15"</f>
        <v>15</v>
      </c>
      <c r="F372" s="4" t="str">
        <f>"09"</f>
        <v>09</v>
      </c>
      <c r="G372" s="5">
        <v>78.2</v>
      </c>
      <c r="H372" s="5" t="s">
        <v>14</v>
      </c>
      <c r="I372" s="5">
        <v>70.4</v>
      </c>
      <c r="J372" s="5" t="s">
        <v>14</v>
      </c>
      <c r="K372" s="7">
        <v>72.74</v>
      </c>
      <c r="L372" s="8">
        <v>26</v>
      </c>
      <c r="M372" s="9"/>
    </row>
    <row r="373" s="1" customFormat="1" ht="20.1" customHeight="1" spans="1:13">
      <c r="A373" s="4" t="str">
        <f>"37502022022713465520190"</f>
        <v>37502022022713465520190</v>
      </c>
      <c r="B373" s="4" t="s">
        <v>359</v>
      </c>
      <c r="C373" s="4" t="s">
        <v>386</v>
      </c>
      <c r="D373" s="4" t="str">
        <f>"20220051319"</f>
        <v>20220051319</v>
      </c>
      <c r="E373" s="4" t="str">
        <f t="shared" ref="E373:E377" si="69">"13"</f>
        <v>13</v>
      </c>
      <c r="F373" s="4" t="str">
        <f>"19"</f>
        <v>19</v>
      </c>
      <c r="G373" s="5">
        <v>72.83</v>
      </c>
      <c r="H373" s="5" t="s">
        <v>14</v>
      </c>
      <c r="I373" s="5">
        <v>72.1</v>
      </c>
      <c r="J373" s="5" t="s">
        <v>14</v>
      </c>
      <c r="K373" s="7">
        <v>72.32</v>
      </c>
      <c r="L373" s="8">
        <v>27</v>
      </c>
      <c r="M373" s="9"/>
    </row>
    <row r="374" s="1" customFormat="1" ht="20.1" customHeight="1" spans="1:13">
      <c r="A374" s="4" t="str">
        <f>"37502022022615092719289"</f>
        <v>37502022022615092719289</v>
      </c>
      <c r="B374" s="4" t="s">
        <v>359</v>
      </c>
      <c r="C374" s="4" t="s">
        <v>387</v>
      </c>
      <c r="D374" s="4" t="str">
        <f>"20220051220"</f>
        <v>20220051220</v>
      </c>
      <c r="E374" s="4" t="str">
        <f t="shared" si="68"/>
        <v>12</v>
      </c>
      <c r="F374" s="4" t="str">
        <f>"20"</f>
        <v>20</v>
      </c>
      <c r="G374" s="5">
        <v>65.1</v>
      </c>
      <c r="H374" s="5" t="s">
        <v>14</v>
      </c>
      <c r="I374" s="5">
        <v>75</v>
      </c>
      <c r="J374" s="5" t="s">
        <v>14</v>
      </c>
      <c r="K374" s="7">
        <v>72.03</v>
      </c>
      <c r="L374" s="8">
        <v>28</v>
      </c>
      <c r="M374" s="9"/>
    </row>
    <row r="375" s="1" customFormat="1" ht="20.1" customHeight="1" spans="1:13">
      <c r="A375" s="4" t="str">
        <f>"37502022030212361925214"</f>
        <v>37502022030212361925214</v>
      </c>
      <c r="B375" s="4" t="s">
        <v>359</v>
      </c>
      <c r="C375" s="4" t="s">
        <v>388</v>
      </c>
      <c r="D375" s="4" t="str">
        <f>"20220051501"</f>
        <v>20220051501</v>
      </c>
      <c r="E375" s="4" t="str">
        <f>"15"</f>
        <v>15</v>
      </c>
      <c r="F375" s="4" t="str">
        <f>"01"</f>
        <v>01</v>
      </c>
      <c r="G375" s="5">
        <v>77.4</v>
      </c>
      <c r="H375" s="5" t="s">
        <v>14</v>
      </c>
      <c r="I375" s="5">
        <v>69.4</v>
      </c>
      <c r="J375" s="5" t="s">
        <v>14</v>
      </c>
      <c r="K375" s="7">
        <v>71.8</v>
      </c>
      <c r="L375" s="8">
        <v>29</v>
      </c>
      <c r="M375" s="9"/>
    </row>
    <row r="376" s="1" customFormat="1" ht="20.1" customHeight="1" spans="1:13">
      <c r="A376" s="4" t="str">
        <f>"37502022030121512624625"</f>
        <v>37502022030121512624625</v>
      </c>
      <c r="B376" s="4" t="s">
        <v>359</v>
      </c>
      <c r="C376" s="4" t="s">
        <v>389</v>
      </c>
      <c r="D376" s="4" t="str">
        <f>"20220051311"</f>
        <v>20220051311</v>
      </c>
      <c r="E376" s="4" t="str">
        <f t="shared" si="69"/>
        <v>13</v>
      </c>
      <c r="F376" s="4" t="str">
        <f>"11"</f>
        <v>11</v>
      </c>
      <c r="G376" s="5">
        <v>72.25</v>
      </c>
      <c r="H376" s="5" t="s">
        <v>14</v>
      </c>
      <c r="I376" s="5">
        <v>71.5</v>
      </c>
      <c r="J376" s="5" t="s">
        <v>14</v>
      </c>
      <c r="K376" s="7">
        <v>71.73</v>
      </c>
      <c r="L376" s="8">
        <v>30</v>
      </c>
      <c r="M376" s="9"/>
    </row>
    <row r="377" s="1" customFormat="1" ht="20.1" customHeight="1" spans="1:13">
      <c r="A377" s="4" t="str">
        <f>"37502022030118385824251"</f>
        <v>37502022030118385824251</v>
      </c>
      <c r="B377" s="4" t="s">
        <v>359</v>
      </c>
      <c r="C377" s="4" t="s">
        <v>390</v>
      </c>
      <c r="D377" s="4" t="str">
        <f>"20220051329"</f>
        <v>20220051329</v>
      </c>
      <c r="E377" s="4" t="str">
        <f t="shared" si="69"/>
        <v>13</v>
      </c>
      <c r="F377" s="4" t="str">
        <f>"29"</f>
        <v>29</v>
      </c>
      <c r="G377" s="5">
        <v>72.98</v>
      </c>
      <c r="H377" s="5" t="s">
        <v>14</v>
      </c>
      <c r="I377" s="5">
        <v>71</v>
      </c>
      <c r="J377" s="5" t="s">
        <v>14</v>
      </c>
      <c r="K377" s="7">
        <v>71.59</v>
      </c>
      <c r="L377" s="8">
        <v>31</v>
      </c>
      <c r="M377" s="9"/>
    </row>
    <row r="378" s="1" customFormat="1" ht="20.1" customHeight="1" spans="1:13">
      <c r="A378" s="4" t="str">
        <f>"37502022030119443124389"</f>
        <v>37502022030119443124389</v>
      </c>
      <c r="B378" s="4" t="s">
        <v>359</v>
      </c>
      <c r="C378" s="4" t="s">
        <v>391</v>
      </c>
      <c r="D378" s="4" t="str">
        <f>"20220051228"</f>
        <v>20220051228</v>
      </c>
      <c r="E378" s="4" t="str">
        <f t="shared" ref="E378:E383" si="70">"12"</f>
        <v>12</v>
      </c>
      <c r="F378" s="4" t="str">
        <f>"28"</f>
        <v>28</v>
      </c>
      <c r="G378" s="5">
        <v>69.71</v>
      </c>
      <c r="H378" s="5" t="s">
        <v>14</v>
      </c>
      <c r="I378" s="5">
        <v>72.4</v>
      </c>
      <c r="J378" s="5" t="s">
        <v>14</v>
      </c>
      <c r="K378" s="7">
        <v>71.59</v>
      </c>
      <c r="L378" s="8">
        <v>31</v>
      </c>
      <c r="M378" s="9"/>
    </row>
    <row r="379" s="1" customFormat="1" ht="20.1" customHeight="1" spans="1:13">
      <c r="A379" s="4" t="str">
        <f>"37502022030113024323703"</f>
        <v>37502022030113024323703</v>
      </c>
      <c r="B379" s="4" t="s">
        <v>359</v>
      </c>
      <c r="C379" s="4" t="s">
        <v>392</v>
      </c>
      <c r="D379" s="4" t="str">
        <f>"20220051413"</f>
        <v>20220051413</v>
      </c>
      <c r="E379" s="4" t="str">
        <f t="shared" ref="E379:E382" si="71">"14"</f>
        <v>14</v>
      </c>
      <c r="F379" s="4" t="str">
        <f>"13"</f>
        <v>13</v>
      </c>
      <c r="G379" s="5">
        <v>72.78</v>
      </c>
      <c r="H379" s="5" t="s">
        <v>14</v>
      </c>
      <c r="I379" s="5">
        <v>71</v>
      </c>
      <c r="J379" s="5" t="s">
        <v>14</v>
      </c>
      <c r="K379" s="7">
        <v>71.53</v>
      </c>
      <c r="L379" s="8">
        <v>33</v>
      </c>
      <c r="M379" s="9"/>
    </row>
    <row r="380" s="1" customFormat="1" ht="20.1" customHeight="1" spans="1:13">
      <c r="A380" s="4" t="str">
        <f>"37502022030109142223210"</f>
        <v>37502022030109142223210</v>
      </c>
      <c r="B380" s="4" t="s">
        <v>359</v>
      </c>
      <c r="C380" s="4" t="s">
        <v>393</v>
      </c>
      <c r="D380" s="4" t="str">
        <f>"20220051219"</f>
        <v>20220051219</v>
      </c>
      <c r="E380" s="4" t="str">
        <f t="shared" si="70"/>
        <v>12</v>
      </c>
      <c r="F380" s="4" t="str">
        <f>"19"</f>
        <v>19</v>
      </c>
      <c r="G380" s="5">
        <v>66.74</v>
      </c>
      <c r="H380" s="5" t="s">
        <v>14</v>
      </c>
      <c r="I380" s="5">
        <v>73</v>
      </c>
      <c r="J380" s="5" t="s">
        <v>14</v>
      </c>
      <c r="K380" s="7">
        <v>71.12</v>
      </c>
      <c r="L380" s="8">
        <v>34</v>
      </c>
      <c r="M380" s="9"/>
    </row>
    <row r="381" s="1" customFormat="1" ht="20.1" customHeight="1" spans="1:13">
      <c r="A381" s="4" t="str">
        <f>"37502022022612241219081"</f>
        <v>37502022022612241219081</v>
      </c>
      <c r="B381" s="4" t="s">
        <v>359</v>
      </c>
      <c r="C381" s="4" t="s">
        <v>394</v>
      </c>
      <c r="D381" s="4" t="str">
        <f>"20220051426"</f>
        <v>20220051426</v>
      </c>
      <c r="E381" s="4" t="str">
        <f t="shared" si="71"/>
        <v>14</v>
      </c>
      <c r="F381" s="4" t="str">
        <f>"26"</f>
        <v>26</v>
      </c>
      <c r="G381" s="5">
        <v>67.93</v>
      </c>
      <c r="H381" s="5" t="s">
        <v>14</v>
      </c>
      <c r="I381" s="5">
        <v>72.4</v>
      </c>
      <c r="J381" s="5" t="s">
        <v>14</v>
      </c>
      <c r="K381" s="7">
        <v>71.06</v>
      </c>
      <c r="L381" s="8">
        <v>35</v>
      </c>
      <c r="M381" s="9"/>
    </row>
    <row r="382" s="1" customFormat="1" ht="20.1" customHeight="1" spans="1:13">
      <c r="A382" s="4" t="str">
        <f>"37502022022718274820585"</f>
        <v>37502022022718274820585</v>
      </c>
      <c r="B382" s="4" t="s">
        <v>359</v>
      </c>
      <c r="C382" s="4" t="s">
        <v>395</v>
      </c>
      <c r="D382" s="4" t="str">
        <f>"20220051424"</f>
        <v>20220051424</v>
      </c>
      <c r="E382" s="4" t="str">
        <f t="shared" si="71"/>
        <v>14</v>
      </c>
      <c r="F382" s="4" t="str">
        <f>"24"</f>
        <v>24</v>
      </c>
      <c r="G382" s="5">
        <v>71.21</v>
      </c>
      <c r="H382" s="5" t="s">
        <v>14</v>
      </c>
      <c r="I382" s="5">
        <v>69.7</v>
      </c>
      <c r="J382" s="5" t="s">
        <v>14</v>
      </c>
      <c r="K382" s="7">
        <v>70.15</v>
      </c>
      <c r="L382" s="8">
        <v>36</v>
      </c>
      <c r="M382" s="9"/>
    </row>
    <row r="383" s="1" customFormat="1" ht="20.1" customHeight="1" spans="1:13">
      <c r="A383" s="4" t="str">
        <f>"37502022022714434220272"</f>
        <v>37502022022714434220272</v>
      </c>
      <c r="B383" s="4" t="s">
        <v>359</v>
      </c>
      <c r="C383" s="4" t="s">
        <v>396</v>
      </c>
      <c r="D383" s="4" t="str">
        <f>"20220051224"</f>
        <v>20220051224</v>
      </c>
      <c r="E383" s="4" t="str">
        <f t="shared" si="70"/>
        <v>12</v>
      </c>
      <c r="F383" s="4" t="str">
        <f>"24"</f>
        <v>24</v>
      </c>
      <c r="G383" s="5">
        <v>79.3</v>
      </c>
      <c r="H383" s="5" t="s">
        <v>14</v>
      </c>
      <c r="I383" s="5">
        <v>65.2</v>
      </c>
      <c r="J383" s="5" t="s">
        <v>14</v>
      </c>
      <c r="K383" s="7">
        <v>69.43</v>
      </c>
      <c r="L383" s="8">
        <v>37</v>
      </c>
      <c r="M383" s="9"/>
    </row>
    <row r="384" s="1" customFormat="1" ht="20.1" customHeight="1" spans="1:13">
      <c r="A384" s="4" t="str">
        <f>"37502022022821140422997"</f>
        <v>37502022022821140422997</v>
      </c>
      <c r="B384" s="4" t="s">
        <v>359</v>
      </c>
      <c r="C384" s="4" t="s">
        <v>397</v>
      </c>
      <c r="D384" s="4" t="str">
        <f>"20220051321"</f>
        <v>20220051321</v>
      </c>
      <c r="E384" s="4" t="str">
        <f>"13"</f>
        <v>13</v>
      </c>
      <c r="F384" s="4" t="str">
        <f>"21"</f>
        <v>21</v>
      </c>
      <c r="G384" s="5">
        <v>72.84</v>
      </c>
      <c r="H384" s="5" t="s">
        <v>14</v>
      </c>
      <c r="I384" s="5">
        <v>67.9</v>
      </c>
      <c r="J384" s="5" t="s">
        <v>14</v>
      </c>
      <c r="K384" s="7">
        <v>69.38</v>
      </c>
      <c r="L384" s="8">
        <v>38</v>
      </c>
      <c r="M384" s="9"/>
    </row>
    <row r="385" s="1" customFormat="1" ht="20.1" customHeight="1" spans="1:13">
      <c r="A385" s="4" t="str">
        <f>"37502022022709082519894"</f>
        <v>37502022022709082519894</v>
      </c>
      <c r="B385" s="4" t="s">
        <v>359</v>
      </c>
      <c r="C385" s="4" t="s">
        <v>398</v>
      </c>
      <c r="D385" s="4" t="str">
        <f>"20220051402"</f>
        <v>20220051402</v>
      </c>
      <c r="E385" s="4" t="str">
        <f t="shared" ref="E385:E387" si="72">"14"</f>
        <v>14</v>
      </c>
      <c r="F385" s="4" t="str">
        <f>"02"</f>
        <v>02</v>
      </c>
      <c r="G385" s="5">
        <v>64.3</v>
      </c>
      <c r="H385" s="5" t="s">
        <v>14</v>
      </c>
      <c r="I385" s="5">
        <v>71.4</v>
      </c>
      <c r="J385" s="5" t="s">
        <v>14</v>
      </c>
      <c r="K385" s="7">
        <v>69.27</v>
      </c>
      <c r="L385" s="8">
        <v>39</v>
      </c>
      <c r="M385" s="9"/>
    </row>
    <row r="386" s="1" customFormat="1" ht="20.1" customHeight="1" spans="1:13">
      <c r="A386" s="4" t="str">
        <f>"37502022030114151523815"</f>
        <v>37502022030114151523815</v>
      </c>
      <c r="B386" s="4" t="s">
        <v>359</v>
      </c>
      <c r="C386" s="4" t="s">
        <v>399</v>
      </c>
      <c r="D386" s="4" t="str">
        <f>"20220051420"</f>
        <v>20220051420</v>
      </c>
      <c r="E386" s="4" t="str">
        <f t="shared" si="72"/>
        <v>14</v>
      </c>
      <c r="F386" s="4" t="str">
        <f>"20"</f>
        <v>20</v>
      </c>
      <c r="G386" s="5">
        <v>70.36</v>
      </c>
      <c r="H386" s="5" t="s">
        <v>14</v>
      </c>
      <c r="I386" s="5">
        <v>68.7</v>
      </c>
      <c r="J386" s="5" t="s">
        <v>14</v>
      </c>
      <c r="K386" s="7">
        <v>69.2</v>
      </c>
      <c r="L386" s="8">
        <v>40</v>
      </c>
      <c r="M386" s="9"/>
    </row>
    <row r="387" s="1" customFormat="1" ht="20.1" customHeight="1" spans="1:13">
      <c r="A387" s="4" t="str">
        <f>"37502022030121312824589"</f>
        <v>37502022030121312824589</v>
      </c>
      <c r="B387" s="4" t="s">
        <v>359</v>
      </c>
      <c r="C387" s="4" t="s">
        <v>400</v>
      </c>
      <c r="D387" s="4" t="str">
        <f>"20220051404"</f>
        <v>20220051404</v>
      </c>
      <c r="E387" s="4" t="str">
        <f t="shared" si="72"/>
        <v>14</v>
      </c>
      <c r="F387" s="4" t="str">
        <f>"04"</f>
        <v>04</v>
      </c>
      <c r="G387" s="5">
        <v>67.42</v>
      </c>
      <c r="H387" s="5" t="s">
        <v>14</v>
      </c>
      <c r="I387" s="5">
        <v>69.8</v>
      </c>
      <c r="J387" s="5" t="s">
        <v>14</v>
      </c>
      <c r="K387" s="7">
        <v>69.09</v>
      </c>
      <c r="L387" s="8">
        <v>41</v>
      </c>
      <c r="M387" s="9"/>
    </row>
    <row r="388" s="1" customFormat="1" ht="20.1" customHeight="1" spans="1:13">
      <c r="A388" s="4" t="str">
        <f>"37502022030210321925028"</f>
        <v>37502022030210321925028</v>
      </c>
      <c r="B388" s="4" t="s">
        <v>359</v>
      </c>
      <c r="C388" s="4" t="s">
        <v>401</v>
      </c>
      <c r="D388" s="4" t="str">
        <f>"20220051316"</f>
        <v>20220051316</v>
      </c>
      <c r="E388" s="4" t="str">
        <f t="shared" ref="E388:E394" si="73">"13"</f>
        <v>13</v>
      </c>
      <c r="F388" s="4" t="str">
        <f>"16"</f>
        <v>16</v>
      </c>
      <c r="G388" s="5">
        <v>67.91</v>
      </c>
      <c r="H388" s="5" t="s">
        <v>14</v>
      </c>
      <c r="I388" s="5">
        <v>69.2</v>
      </c>
      <c r="J388" s="5" t="s">
        <v>14</v>
      </c>
      <c r="K388" s="7">
        <v>68.81</v>
      </c>
      <c r="L388" s="8">
        <v>42</v>
      </c>
      <c r="M388" s="9"/>
    </row>
    <row r="389" s="1" customFormat="1" ht="20.1" customHeight="1" spans="1:13">
      <c r="A389" s="4" t="str">
        <f>"37502022022618382819511"</f>
        <v>37502022022618382819511</v>
      </c>
      <c r="B389" s="4" t="s">
        <v>359</v>
      </c>
      <c r="C389" s="4" t="s">
        <v>402</v>
      </c>
      <c r="D389" s="4" t="str">
        <f>"20220051217"</f>
        <v>20220051217</v>
      </c>
      <c r="E389" s="4" t="str">
        <f>"12"</f>
        <v>12</v>
      </c>
      <c r="F389" s="4" t="str">
        <f>"17"</f>
        <v>17</v>
      </c>
      <c r="G389" s="5">
        <v>66.61</v>
      </c>
      <c r="H389" s="5" t="s">
        <v>14</v>
      </c>
      <c r="I389" s="5">
        <v>69.5</v>
      </c>
      <c r="J389" s="5" t="s">
        <v>14</v>
      </c>
      <c r="K389" s="7">
        <v>68.63</v>
      </c>
      <c r="L389" s="8">
        <v>43</v>
      </c>
      <c r="M389" s="9"/>
    </row>
    <row r="390" s="1" customFormat="1" ht="20.1" customHeight="1" spans="1:13">
      <c r="A390" s="4" t="str">
        <f>"37502022030207375524798"</f>
        <v>37502022030207375524798</v>
      </c>
      <c r="B390" s="4" t="s">
        <v>359</v>
      </c>
      <c r="C390" s="4" t="s">
        <v>403</v>
      </c>
      <c r="D390" s="4" t="str">
        <f>"20220051411"</f>
        <v>20220051411</v>
      </c>
      <c r="E390" s="4" t="str">
        <f>"14"</f>
        <v>14</v>
      </c>
      <c r="F390" s="4" t="str">
        <f>"11"</f>
        <v>11</v>
      </c>
      <c r="G390" s="5">
        <v>65.95</v>
      </c>
      <c r="H390" s="5" t="s">
        <v>14</v>
      </c>
      <c r="I390" s="5">
        <v>69.3</v>
      </c>
      <c r="J390" s="5" t="s">
        <v>14</v>
      </c>
      <c r="K390" s="7">
        <v>68.3</v>
      </c>
      <c r="L390" s="8">
        <v>44</v>
      </c>
      <c r="M390" s="9"/>
    </row>
    <row r="391" s="1" customFormat="1" ht="20.1" customHeight="1" spans="1:13">
      <c r="A391" s="4" t="str">
        <f>"37502022022720043420745"</f>
        <v>37502022022720043420745</v>
      </c>
      <c r="B391" s="4" t="s">
        <v>359</v>
      </c>
      <c r="C391" s="4" t="s">
        <v>404</v>
      </c>
      <c r="D391" s="4" t="str">
        <f>"20220051216"</f>
        <v>20220051216</v>
      </c>
      <c r="E391" s="4" t="str">
        <f>"12"</f>
        <v>12</v>
      </c>
      <c r="F391" s="4" t="str">
        <f>"16"</f>
        <v>16</v>
      </c>
      <c r="G391" s="5">
        <v>67.02</v>
      </c>
      <c r="H391" s="5" t="s">
        <v>14</v>
      </c>
      <c r="I391" s="5">
        <v>68.8</v>
      </c>
      <c r="J391" s="5" t="s">
        <v>14</v>
      </c>
      <c r="K391" s="7">
        <v>68.27</v>
      </c>
      <c r="L391" s="8">
        <v>45</v>
      </c>
      <c r="M391" s="9"/>
    </row>
    <row r="392" s="1" customFormat="1" ht="20.1" customHeight="1" spans="1:13">
      <c r="A392" s="4" t="str">
        <f>"37502022030212472625234"</f>
        <v>37502022030212472625234</v>
      </c>
      <c r="B392" s="4" t="s">
        <v>359</v>
      </c>
      <c r="C392" s="4" t="s">
        <v>405</v>
      </c>
      <c r="D392" s="4" t="str">
        <f>"20220051309"</f>
        <v>20220051309</v>
      </c>
      <c r="E392" s="4" t="str">
        <f t="shared" si="73"/>
        <v>13</v>
      </c>
      <c r="F392" s="4" t="str">
        <f>"09"</f>
        <v>09</v>
      </c>
      <c r="G392" s="5">
        <v>65.11</v>
      </c>
      <c r="H392" s="5" t="s">
        <v>14</v>
      </c>
      <c r="I392" s="5">
        <v>69.5</v>
      </c>
      <c r="J392" s="5" t="s">
        <v>14</v>
      </c>
      <c r="K392" s="7">
        <v>68.18</v>
      </c>
      <c r="L392" s="8">
        <v>46</v>
      </c>
      <c r="M392" s="9"/>
    </row>
    <row r="393" s="1" customFormat="1" ht="20.1" customHeight="1" spans="1:13">
      <c r="A393" s="4" t="str">
        <f>"37502022030118425624260"</f>
        <v>37502022030118425624260</v>
      </c>
      <c r="B393" s="4" t="s">
        <v>359</v>
      </c>
      <c r="C393" s="4" t="s">
        <v>406</v>
      </c>
      <c r="D393" s="4" t="str">
        <f>"20220051318"</f>
        <v>20220051318</v>
      </c>
      <c r="E393" s="4" t="str">
        <f t="shared" si="73"/>
        <v>13</v>
      </c>
      <c r="F393" s="4" t="str">
        <f>"18"</f>
        <v>18</v>
      </c>
      <c r="G393" s="5">
        <v>69.87</v>
      </c>
      <c r="H393" s="5" t="s">
        <v>14</v>
      </c>
      <c r="I393" s="5">
        <v>67.4</v>
      </c>
      <c r="J393" s="5" t="s">
        <v>14</v>
      </c>
      <c r="K393" s="7">
        <v>68.14</v>
      </c>
      <c r="L393" s="8">
        <v>47</v>
      </c>
      <c r="M393" s="9"/>
    </row>
    <row r="394" s="1" customFormat="1" ht="20.1" customHeight="1" spans="1:13">
      <c r="A394" s="4" t="str">
        <f>"37502022030118123724201"</f>
        <v>37502022030118123724201</v>
      </c>
      <c r="B394" s="4" t="s">
        <v>359</v>
      </c>
      <c r="C394" s="4" t="s">
        <v>407</v>
      </c>
      <c r="D394" s="4" t="str">
        <f>"20220051327"</f>
        <v>20220051327</v>
      </c>
      <c r="E394" s="4" t="str">
        <f t="shared" si="73"/>
        <v>13</v>
      </c>
      <c r="F394" s="4" t="str">
        <f>"27"</f>
        <v>27</v>
      </c>
      <c r="G394" s="5">
        <v>68.76</v>
      </c>
      <c r="H394" s="5" t="s">
        <v>14</v>
      </c>
      <c r="I394" s="5">
        <v>67.2</v>
      </c>
      <c r="J394" s="5" t="s">
        <v>14</v>
      </c>
      <c r="K394" s="7">
        <v>67.67</v>
      </c>
      <c r="L394" s="8">
        <v>48</v>
      </c>
      <c r="M394" s="9"/>
    </row>
    <row r="395" s="1" customFormat="1" ht="20.1" customHeight="1" spans="1:13">
      <c r="A395" s="4" t="str">
        <f>"37502022030218225525700"</f>
        <v>37502022030218225525700</v>
      </c>
      <c r="B395" s="4" t="s">
        <v>359</v>
      </c>
      <c r="C395" s="4" t="s">
        <v>408</v>
      </c>
      <c r="D395" s="4" t="str">
        <f>"20220051221"</f>
        <v>20220051221</v>
      </c>
      <c r="E395" s="4" t="str">
        <f>"12"</f>
        <v>12</v>
      </c>
      <c r="F395" s="4" t="str">
        <f>"21"</f>
        <v>21</v>
      </c>
      <c r="G395" s="5">
        <v>63.18</v>
      </c>
      <c r="H395" s="5" t="s">
        <v>14</v>
      </c>
      <c r="I395" s="5">
        <v>69.4</v>
      </c>
      <c r="J395" s="5" t="s">
        <v>14</v>
      </c>
      <c r="K395" s="7">
        <v>67.53</v>
      </c>
      <c r="L395" s="8">
        <v>49</v>
      </c>
      <c r="M395" s="9"/>
    </row>
    <row r="396" s="1" customFormat="1" ht="20.1" customHeight="1" spans="1:13">
      <c r="A396" s="4" t="str">
        <f>"37502022022609133618687"</f>
        <v>37502022022609133618687</v>
      </c>
      <c r="B396" s="4" t="s">
        <v>359</v>
      </c>
      <c r="C396" s="4" t="s">
        <v>409</v>
      </c>
      <c r="D396" s="4" t="str">
        <f>"20220051314"</f>
        <v>20220051314</v>
      </c>
      <c r="E396" s="4" t="str">
        <f>"13"</f>
        <v>13</v>
      </c>
      <c r="F396" s="4" t="str">
        <f>"14"</f>
        <v>14</v>
      </c>
      <c r="G396" s="5">
        <v>66.67</v>
      </c>
      <c r="H396" s="5" t="s">
        <v>14</v>
      </c>
      <c r="I396" s="5">
        <v>67.6</v>
      </c>
      <c r="J396" s="5" t="s">
        <v>14</v>
      </c>
      <c r="K396" s="7">
        <v>67.32</v>
      </c>
      <c r="L396" s="8">
        <v>50</v>
      </c>
      <c r="M396" s="9"/>
    </row>
    <row r="397" s="1" customFormat="1" ht="20.1" customHeight="1" spans="1:13">
      <c r="A397" s="4" t="str">
        <f>"37502022022806021221266"</f>
        <v>37502022022806021221266</v>
      </c>
      <c r="B397" s="4" t="s">
        <v>359</v>
      </c>
      <c r="C397" s="4" t="s">
        <v>94</v>
      </c>
      <c r="D397" s="4" t="str">
        <f>"20220051423"</f>
        <v>20220051423</v>
      </c>
      <c r="E397" s="4" t="str">
        <f t="shared" ref="E397:E399" si="74">"14"</f>
        <v>14</v>
      </c>
      <c r="F397" s="4" t="str">
        <f>"23"</f>
        <v>23</v>
      </c>
      <c r="G397" s="5">
        <v>61.32</v>
      </c>
      <c r="H397" s="5" t="s">
        <v>14</v>
      </c>
      <c r="I397" s="5">
        <v>69.5</v>
      </c>
      <c r="J397" s="5" t="s">
        <v>14</v>
      </c>
      <c r="K397" s="7">
        <v>67.05</v>
      </c>
      <c r="L397" s="8">
        <v>51</v>
      </c>
      <c r="M397" s="9"/>
    </row>
    <row r="398" s="1" customFormat="1" ht="20.1" customHeight="1" spans="1:13">
      <c r="A398" s="4" t="str">
        <f>"37502022022716542020480"</f>
        <v>37502022022716542020480</v>
      </c>
      <c r="B398" s="4" t="s">
        <v>359</v>
      </c>
      <c r="C398" s="4" t="s">
        <v>410</v>
      </c>
      <c r="D398" s="4" t="str">
        <f>"20220051412"</f>
        <v>20220051412</v>
      </c>
      <c r="E398" s="4" t="str">
        <f t="shared" si="74"/>
        <v>14</v>
      </c>
      <c r="F398" s="4" t="str">
        <f>"12"</f>
        <v>12</v>
      </c>
      <c r="G398" s="5">
        <v>66.39</v>
      </c>
      <c r="H398" s="5" t="s">
        <v>14</v>
      </c>
      <c r="I398" s="5">
        <v>67.1</v>
      </c>
      <c r="J398" s="5" t="s">
        <v>14</v>
      </c>
      <c r="K398" s="7">
        <v>66.89</v>
      </c>
      <c r="L398" s="8">
        <v>52</v>
      </c>
      <c r="M398" s="9"/>
    </row>
    <row r="399" s="1" customFormat="1" ht="20.1" customHeight="1" spans="1:13">
      <c r="A399" s="4" t="str">
        <f>"37502022022619280819558"</f>
        <v>37502022022619280819558</v>
      </c>
      <c r="B399" s="4" t="s">
        <v>359</v>
      </c>
      <c r="C399" s="4" t="s">
        <v>411</v>
      </c>
      <c r="D399" s="4" t="str">
        <f>"20220051429"</f>
        <v>20220051429</v>
      </c>
      <c r="E399" s="4" t="str">
        <f t="shared" si="74"/>
        <v>14</v>
      </c>
      <c r="F399" s="4" t="str">
        <f>"29"</f>
        <v>29</v>
      </c>
      <c r="G399" s="5">
        <v>71.27</v>
      </c>
      <c r="H399" s="5" t="s">
        <v>14</v>
      </c>
      <c r="I399" s="5">
        <v>64.9</v>
      </c>
      <c r="J399" s="5" t="s">
        <v>14</v>
      </c>
      <c r="K399" s="7">
        <v>66.81</v>
      </c>
      <c r="L399" s="8">
        <v>53</v>
      </c>
      <c r="M399" s="9"/>
    </row>
    <row r="400" s="1" customFormat="1" ht="20.1" customHeight="1" spans="1:13">
      <c r="A400" s="4" t="str">
        <f>"37502022030120145624432"</f>
        <v>37502022030120145624432</v>
      </c>
      <c r="B400" s="4" t="s">
        <v>359</v>
      </c>
      <c r="C400" s="4" t="s">
        <v>412</v>
      </c>
      <c r="D400" s="4" t="str">
        <f>"20220051508"</f>
        <v>20220051508</v>
      </c>
      <c r="E400" s="4" t="str">
        <f t="shared" ref="E400:E404" si="75">"15"</f>
        <v>15</v>
      </c>
      <c r="F400" s="4" t="str">
        <f>"08"</f>
        <v>08</v>
      </c>
      <c r="G400" s="5">
        <v>67.25</v>
      </c>
      <c r="H400" s="5" t="s">
        <v>14</v>
      </c>
      <c r="I400" s="5">
        <v>66.1</v>
      </c>
      <c r="J400" s="5" t="s">
        <v>14</v>
      </c>
      <c r="K400" s="7">
        <v>66.45</v>
      </c>
      <c r="L400" s="8">
        <v>54</v>
      </c>
      <c r="M400" s="9"/>
    </row>
    <row r="401" s="1" customFormat="1" ht="20.1" customHeight="1" spans="1:13">
      <c r="A401" s="4" t="str">
        <f>"37502022022814410622310"</f>
        <v>37502022022814410622310</v>
      </c>
      <c r="B401" s="4" t="s">
        <v>359</v>
      </c>
      <c r="C401" s="4" t="s">
        <v>413</v>
      </c>
      <c r="D401" s="4" t="str">
        <f>"20220051507"</f>
        <v>20220051507</v>
      </c>
      <c r="E401" s="4" t="str">
        <f t="shared" si="75"/>
        <v>15</v>
      </c>
      <c r="F401" s="4" t="str">
        <f>"07"</f>
        <v>07</v>
      </c>
      <c r="G401" s="5">
        <v>69.19</v>
      </c>
      <c r="H401" s="5" t="s">
        <v>14</v>
      </c>
      <c r="I401" s="5">
        <v>64.5</v>
      </c>
      <c r="J401" s="5" t="s">
        <v>14</v>
      </c>
      <c r="K401" s="7">
        <v>65.91</v>
      </c>
      <c r="L401" s="8">
        <v>55</v>
      </c>
      <c r="M401" s="9"/>
    </row>
    <row r="402" s="1" customFormat="1" ht="20.1" customHeight="1" spans="1:13">
      <c r="A402" s="4" t="str">
        <f>"37502022030119474824393"</f>
        <v>37502022030119474824393</v>
      </c>
      <c r="B402" s="4" t="s">
        <v>359</v>
      </c>
      <c r="C402" s="4" t="s">
        <v>414</v>
      </c>
      <c r="D402" s="4" t="str">
        <f>"20220051405"</f>
        <v>20220051405</v>
      </c>
      <c r="E402" s="4" t="str">
        <f t="shared" ref="E402:E405" si="76">"14"</f>
        <v>14</v>
      </c>
      <c r="F402" s="4" t="str">
        <f>"05"</f>
        <v>05</v>
      </c>
      <c r="G402" s="5">
        <v>72.62</v>
      </c>
      <c r="H402" s="5" t="s">
        <v>14</v>
      </c>
      <c r="I402" s="5">
        <v>62.7</v>
      </c>
      <c r="J402" s="5" t="s">
        <v>14</v>
      </c>
      <c r="K402" s="7">
        <v>65.68</v>
      </c>
      <c r="L402" s="8">
        <v>56</v>
      </c>
      <c r="M402" s="9"/>
    </row>
    <row r="403" s="1" customFormat="1" ht="20.1" customHeight="1" spans="1:13">
      <c r="A403" s="4" t="str">
        <f>"37502022022619510819578"</f>
        <v>37502022022619510819578</v>
      </c>
      <c r="B403" s="4" t="s">
        <v>359</v>
      </c>
      <c r="C403" s="4" t="s">
        <v>415</v>
      </c>
      <c r="D403" s="4" t="str">
        <f>"20220051430"</f>
        <v>20220051430</v>
      </c>
      <c r="E403" s="4" t="str">
        <f t="shared" si="76"/>
        <v>14</v>
      </c>
      <c r="F403" s="4" t="str">
        <f>"30"</f>
        <v>30</v>
      </c>
      <c r="G403" s="5">
        <v>60.84</v>
      </c>
      <c r="H403" s="5" t="s">
        <v>14</v>
      </c>
      <c r="I403" s="5">
        <v>67.2</v>
      </c>
      <c r="J403" s="5" t="s">
        <v>14</v>
      </c>
      <c r="K403" s="7">
        <v>65.29</v>
      </c>
      <c r="L403" s="8">
        <v>57</v>
      </c>
      <c r="M403" s="9"/>
    </row>
    <row r="404" s="1" customFormat="1" ht="20.1" customHeight="1" spans="1:13">
      <c r="A404" s="4" t="str">
        <f>"37502022022612385719110"</f>
        <v>37502022022612385719110</v>
      </c>
      <c r="B404" s="4" t="s">
        <v>359</v>
      </c>
      <c r="C404" s="4" t="s">
        <v>416</v>
      </c>
      <c r="D404" s="4" t="str">
        <f>"20220051505"</f>
        <v>20220051505</v>
      </c>
      <c r="E404" s="4" t="str">
        <f t="shared" si="75"/>
        <v>15</v>
      </c>
      <c r="F404" s="4" t="str">
        <f>"05"</f>
        <v>05</v>
      </c>
      <c r="G404" s="5">
        <v>54.16</v>
      </c>
      <c r="H404" s="5" t="s">
        <v>14</v>
      </c>
      <c r="I404" s="5">
        <v>68.5</v>
      </c>
      <c r="J404" s="5" t="s">
        <v>14</v>
      </c>
      <c r="K404" s="7">
        <v>64.2</v>
      </c>
      <c r="L404" s="8">
        <v>58</v>
      </c>
      <c r="M404" s="9"/>
    </row>
    <row r="405" s="1" customFormat="1" ht="20.1" customHeight="1" spans="1:13">
      <c r="A405" s="4" t="str">
        <f>"37502022030111074723494"</f>
        <v>37502022030111074723494</v>
      </c>
      <c r="B405" s="4" t="s">
        <v>359</v>
      </c>
      <c r="C405" s="4" t="s">
        <v>417</v>
      </c>
      <c r="D405" s="4" t="str">
        <f>"20220051403"</f>
        <v>20220051403</v>
      </c>
      <c r="E405" s="4" t="str">
        <f t="shared" si="76"/>
        <v>14</v>
      </c>
      <c r="F405" s="4" t="str">
        <f>"03"</f>
        <v>03</v>
      </c>
      <c r="G405" s="5">
        <v>54.16</v>
      </c>
      <c r="H405" s="5" t="s">
        <v>14</v>
      </c>
      <c r="I405" s="5">
        <v>68.2</v>
      </c>
      <c r="J405" s="5" t="s">
        <v>14</v>
      </c>
      <c r="K405" s="7">
        <v>63.99</v>
      </c>
      <c r="L405" s="8">
        <v>59</v>
      </c>
      <c r="M405" s="9"/>
    </row>
    <row r="406" s="1" customFormat="1" ht="20.1" customHeight="1" spans="1:13">
      <c r="A406" s="4" t="str">
        <f>"37502022030200311124766"</f>
        <v>37502022030200311124766</v>
      </c>
      <c r="B406" s="4" t="s">
        <v>359</v>
      </c>
      <c r="C406" s="4" t="s">
        <v>418</v>
      </c>
      <c r="D406" s="4" t="str">
        <f>"20220051225"</f>
        <v>20220051225</v>
      </c>
      <c r="E406" s="4" t="str">
        <f>"12"</f>
        <v>12</v>
      </c>
      <c r="F406" s="4" t="str">
        <f>"25"</f>
        <v>25</v>
      </c>
      <c r="G406" s="5">
        <v>64.09</v>
      </c>
      <c r="H406" s="5" t="s">
        <v>14</v>
      </c>
      <c r="I406" s="5">
        <v>59.8</v>
      </c>
      <c r="J406" s="5" t="s">
        <v>14</v>
      </c>
      <c r="K406" s="7">
        <v>61.09</v>
      </c>
      <c r="L406" s="8">
        <v>60</v>
      </c>
      <c r="M406" s="9"/>
    </row>
    <row r="407" s="1" customFormat="1" ht="20.1" customHeight="1" spans="1:13">
      <c r="A407" s="4" t="str">
        <f>"37502022022614093919211"</f>
        <v>37502022022614093919211</v>
      </c>
      <c r="B407" s="4" t="s">
        <v>359</v>
      </c>
      <c r="C407" s="4" t="s">
        <v>419</v>
      </c>
      <c r="D407" s="4" t="str">
        <f>"20220051416"</f>
        <v>20220051416</v>
      </c>
      <c r="E407" s="4" t="str">
        <f t="shared" ref="E407:E411" si="77">"14"</f>
        <v>14</v>
      </c>
      <c r="F407" s="4" t="str">
        <f>"16"</f>
        <v>16</v>
      </c>
      <c r="G407" s="5">
        <v>60.42</v>
      </c>
      <c r="H407" s="5" t="s">
        <v>14</v>
      </c>
      <c r="I407" s="5">
        <v>58.9</v>
      </c>
      <c r="J407" s="5" t="s">
        <v>14</v>
      </c>
      <c r="K407" s="7">
        <v>59.36</v>
      </c>
      <c r="L407" s="8">
        <v>61</v>
      </c>
      <c r="M407" s="9"/>
    </row>
    <row r="408" s="1" customFormat="1" ht="20.1" customHeight="1" spans="1:13">
      <c r="A408" s="4" t="str">
        <f>"37502022022610100818845"</f>
        <v>37502022022610100818845</v>
      </c>
      <c r="B408" s="4" t="s">
        <v>359</v>
      </c>
      <c r="C408" s="4" t="s">
        <v>420</v>
      </c>
      <c r="D408" s="4" t="str">
        <f>"20220051320"</f>
        <v>20220051320</v>
      </c>
      <c r="E408" s="4" t="str">
        <f>"13"</f>
        <v>13</v>
      </c>
      <c r="F408" s="4" t="str">
        <f>"20"</f>
        <v>20</v>
      </c>
      <c r="G408" s="5">
        <v>0</v>
      </c>
      <c r="H408" s="5" t="s">
        <v>74</v>
      </c>
      <c r="I408" s="5">
        <v>0</v>
      </c>
      <c r="J408" s="5" t="s">
        <v>74</v>
      </c>
      <c r="K408" s="7">
        <v>0</v>
      </c>
      <c r="L408" s="8">
        <v>62</v>
      </c>
      <c r="M408" s="9"/>
    </row>
    <row r="409" s="1" customFormat="1" ht="20.1" customHeight="1" spans="1:13">
      <c r="A409" s="4" t="str">
        <f>"37502022022610320618931"</f>
        <v>37502022022610320618931</v>
      </c>
      <c r="B409" s="4" t="s">
        <v>359</v>
      </c>
      <c r="C409" s="4" t="s">
        <v>421</v>
      </c>
      <c r="D409" s="4" t="str">
        <f>"20220051419"</f>
        <v>20220051419</v>
      </c>
      <c r="E409" s="4" t="str">
        <f t="shared" si="77"/>
        <v>14</v>
      </c>
      <c r="F409" s="4" t="str">
        <f>"19"</f>
        <v>19</v>
      </c>
      <c r="G409" s="5">
        <v>0</v>
      </c>
      <c r="H409" s="5" t="s">
        <v>74</v>
      </c>
      <c r="I409" s="5">
        <v>0</v>
      </c>
      <c r="J409" s="5" t="s">
        <v>74</v>
      </c>
      <c r="K409" s="7">
        <v>0</v>
      </c>
      <c r="L409" s="8">
        <v>62</v>
      </c>
      <c r="M409" s="9"/>
    </row>
    <row r="410" s="1" customFormat="1" ht="20.1" customHeight="1" spans="1:13">
      <c r="A410" s="4" t="str">
        <f>"37502022022713441420187"</f>
        <v>37502022022713441420187</v>
      </c>
      <c r="B410" s="4" t="s">
        <v>359</v>
      </c>
      <c r="C410" s="4" t="s">
        <v>422</v>
      </c>
      <c r="D410" s="4" t="str">
        <f>"20220051502"</f>
        <v>20220051502</v>
      </c>
      <c r="E410" s="4" t="str">
        <f>"15"</f>
        <v>15</v>
      </c>
      <c r="F410" s="4" t="str">
        <f>"02"</f>
        <v>02</v>
      </c>
      <c r="G410" s="5">
        <v>0</v>
      </c>
      <c r="H410" s="5" t="s">
        <v>74</v>
      </c>
      <c r="I410" s="5">
        <v>0</v>
      </c>
      <c r="J410" s="5" t="s">
        <v>74</v>
      </c>
      <c r="K410" s="7">
        <v>0</v>
      </c>
      <c r="L410" s="8">
        <v>62</v>
      </c>
      <c r="M410" s="9"/>
    </row>
    <row r="411" s="1" customFormat="1" ht="20.1" customHeight="1" spans="1:13">
      <c r="A411" s="4" t="str">
        <f>"37502022022714155120232"</f>
        <v>37502022022714155120232</v>
      </c>
      <c r="B411" s="4" t="s">
        <v>359</v>
      </c>
      <c r="C411" s="4" t="s">
        <v>423</v>
      </c>
      <c r="D411" s="4" t="str">
        <f>"20220051406"</f>
        <v>20220051406</v>
      </c>
      <c r="E411" s="4" t="str">
        <f t="shared" si="77"/>
        <v>14</v>
      </c>
      <c r="F411" s="4" t="str">
        <f>"06"</f>
        <v>06</v>
      </c>
      <c r="G411" s="5">
        <v>0</v>
      </c>
      <c r="H411" s="5" t="s">
        <v>74</v>
      </c>
      <c r="I411" s="5">
        <v>0</v>
      </c>
      <c r="J411" s="5" t="s">
        <v>74</v>
      </c>
      <c r="K411" s="7">
        <v>0</v>
      </c>
      <c r="L411" s="8">
        <v>62</v>
      </c>
      <c r="M411" s="9"/>
    </row>
    <row r="412" s="1" customFormat="1" ht="20.1" customHeight="1" spans="1:13">
      <c r="A412" s="4" t="str">
        <f>"37502022022715011720300"</f>
        <v>37502022022715011720300</v>
      </c>
      <c r="B412" s="4" t="s">
        <v>359</v>
      </c>
      <c r="C412" s="4" t="s">
        <v>424</v>
      </c>
      <c r="D412" s="4" t="str">
        <f>"20220051312"</f>
        <v>20220051312</v>
      </c>
      <c r="E412" s="4" t="str">
        <f t="shared" ref="E412:E419" si="78">"13"</f>
        <v>13</v>
      </c>
      <c r="F412" s="4" t="str">
        <f>"12"</f>
        <v>12</v>
      </c>
      <c r="G412" s="5">
        <v>0</v>
      </c>
      <c r="H412" s="5" t="s">
        <v>74</v>
      </c>
      <c r="I412" s="5">
        <v>0</v>
      </c>
      <c r="J412" s="5" t="s">
        <v>74</v>
      </c>
      <c r="K412" s="7">
        <v>0</v>
      </c>
      <c r="L412" s="8">
        <v>62</v>
      </c>
      <c r="M412" s="9"/>
    </row>
    <row r="413" s="1" customFormat="1" ht="20.1" customHeight="1" spans="1:13">
      <c r="A413" s="4" t="str">
        <f>"37502022022720434120847"</f>
        <v>37502022022720434120847</v>
      </c>
      <c r="B413" s="4" t="s">
        <v>359</v>
      </c>
      <c r="C413" s="4" t="s">
        <v>425</v>
      </c>
      <c r="D413" s="4" t="str">
        <f>"20220051422"</f>
        <v>20220051422</v>
      </c>
      <c r="E413" s="4" t="str">
        <f>"14"</f>
        <v>14</v>
      </c>
      <c r="F413" s="4" t="str">
        <f>"22"</f>
        <v>22</v>
      </c>
      <c r="G413" s="5">
        <v>0</v>
      </c>
      <c r="H413" s="5" t="s">
        <v>74</v>
      </c>
      <c r="I413" s="5">
        <v>0</v>
      </c>
      <c r="J413" s="5" t="s">
        <v>74</v>
      </c>
      <c r="K413" s="7">
        <v>0</v>
      </c>
      <c r="L413" s="8">
        <v>62</v>
      </c>
      <c r="M413" s="9"/>
    </row>
    <row r="414" s="1" customFormat="1" ht="20.1" customHeight="1" spans="1:13">
      <c r="A414" s="4" t="str">
        <f>"37502022022722091821029"</f>
        <v>37502022022722091821029</v>
      </c>
      <c r="B414" s="4" t="s">
        <v>359</v>
      </c>
      <c r="C414" s="4" t="s">
        <v>426</v>
      </c>
      <c r="D414" s="4" t="str">
        <f>"20220051511"</f>
        <v>20220051511</v>
      </c>
      <c r="E414" s="4" t="str">
        <f>"15"</f>
        <v>15</v>
      </c>
      <c r="F414" s="4" t="str">
        <f>"11"</f>
        <v>11</v>
      </c>
      <c r="G414" s="5">
        <v>0</v>
      </c>
      <c r="H414" s="5" t="s">
        <v>74</v>
      </c>
      <c r="I414" s="5">
        <v>0</v>
      </c>
      <c r="J414" s="5" t="s">
        <v>74</v>
      </c>
      <c r="K414" s="7">
        <v>0</v>
      </c>
      <c r="L414" s="8">
        <v>62</v>
      </c>
      <c r="M414" s="9"/>
    </row>
    <row r="415" s="1" customFormat="1" ht="20.1" customHeight="1" spans="1:13">
      <c r="A415" s="4" t="str">
        <f>"37502022022723070521142"</f>
        <v>37502022022723070521142</v>
      </c>
      <c r="B415" s="4" t="s">
        <v>359</v>
      </c>
      <c r="C415" s="4" t="s">
        <v>427</v>
      </c>
      <c r="D415" s="4" t="str">
        <f>"20220051401"</f>
        <v>20220051401</v>
      </c>
      <c r="E415" s="4" t="str">
        <f>"14"</f>
        <v>14</v>
      </c>
      <c r="F415" s="4" t="str">
        <f>"01"</f>
        <v>01</v>
      </c>
      <c r="G415" s="5">
        <v>0</v>
      </c>
      <c r="H415" s="5" t="s">
        <v>74</v>
      </c>
      <c r="I415" s="5">
        <v>0</v>
      </c>
      <c r="J415" s="5" t="s">
        <v>74</v>
      </c>
      <c r="K415" s="7">
        <v>0</v>
      </c>
      <c r="L415" s="8">
        <v>62</v>
      </c>
      <c r="M415" s="9"/>
    </row>
    <row r="416" s="1" customFormat="1" ht="20.1" customHeight="1" spans="1:13">
      <c r="A416" s="4" t="str">
        <f>"37502022022810253321614"</f>
        <v>37502022022810253321614</v>
      </c>
      <c r="B416" s="4" t="s">
        <v>359</v>
      </c>
      <c r="C416" s="4" t="s">
        <v>428</v>
      </c>
      <c r="D416" s="4" t="str">
        <f>"20220051303"</f>
        <v>20220051303</v>
      </c>
      <c r="E416" s="4" t="str">
        <f t="shared" si="78"/>
        <v>13</v>
      </c>
      <c r="F416" s="4" t="str">
        <f>"03"</f>
        <v>03</v>
      </c>
      <c r="G416" s="5">
        <v>0</v>
      </c>
      <c r="H416" s="5" t="s">
        <v>74</v>
      </c>
      <c r="I416" s="5">
        <v>0</v>
      </c>
      <c r="J416" s="5" t="s">
        <v>74</v>
      </c>
      <c r="K416" s="7">
        <v>0</v>
      </c>
      <c r="L416" s="8">
        <v>62</v>
      </c>
      <c r="M416" s="9"/>
    </row>
    <row r="417" s="1" customFormat="1" ht="20.1" customHeight="1" spans="1:13">
      <c r="A417" s="4" t="str">
        <f>"37502022022811054021730"</f>
        <v>37502022022811054021730</v>
      </c>
      <c r="B417" s="4" t="s">
        <v>359</v>
      </c>
      <c r="C417" s="4" t="s">
        <v>429</v>
      </c>
      <c r="D417" s="4" t="str">
        <f>"20220051324"</f>
        <v>20220051324</v>
      </c>
      <c r="E417" s="4" t="str">
        <f t="shared" si="78"/>
        <v>13</v>
      </c>
      <c r="F417" s="4" t="str">
        <f>"24"</f>
        <v>24</v>
      </c>
      <c r="G417" s="5">
        <v>0</v>
      </c>
      <c r="H417" s="5" t="s">
        <v>74</v>
      </c>
      <c r="I417" s="5">
        <v>0</v>
      </c>
      <c r="J417" s="5" t="s">
        <v>74</v>
      </c>
      <c r="K417" s="7">
        <v>0</v>
      </c>
      <c r="L417" s="8">
        <v>62</v>
      </c>
      <c r="M417" s="9"/>
    </row>
    <row r="418" s="1" customFormat="1" ht="20.1" customHeight="1" spans="1:13">
      <c r="A418" s="4" t="str">
        <f>"37502022022818394122849"</f>
        <v>37502022022818394122849</v>
      </c>
      <c r="B418" s="4" t="s">
        <v>359</v>
      </c>
      <c r="C418" s="4" t="s">
        <v>352</v>
      </c>
      <c r="D418" s="4" t="str">
        <f>"20220051313"</f>
        <v>20220051313</v>
      </c>
      <c r="E418" s="4" t="str">
        <f t="shared" si="78"/>
        <v>13</v>
      </c>
      <c r="F418" s="4" t="str">
        <f>"13"</f>
        <v>13</v>
      </c>
      <c r="G418" s="5">
        <v>0</v>
      </c>
      <c r="H418" s="5" t="s">
        <v>74</v>
      </c>
      <c r="I418" s="5">
        <v>0</v>
      </c>
      <c r="J418" s="5" t="s">
        <v>74</v>
      </c>
      <c r="K418" s="7">
        <v>0</v>
      </c>
      <c r="L418" s="8">
        <v>62</v>
      </c>
      <c r="M418" s="9"/>
    </row>
    <row r="419" s="1" customFormat="1" ht="20.1" customHeight="1" spans="1:13">
      <c r="A419" s="4" t="str">
        <f>"37502022022819220222886"</f>
        <v>37502022022819220222886</v>
      </c>
      <c r="B419" s="4" t="s">
        <v>359</v>
      </c>
      <c r="C419" s="4" t="s">
        <v>430</v>
      </c>
      <c r="D419" s="4" t="str">
        <f>"20220051315"</f>
        <v>20220051315</v>
      </c>
      <c r="E419" s="4" t="str">
        <f t="shared" si="78"/>
        <v>13</v>
      </c>
      <c r="F419" s="4" t="str">
        <f t="shared" ref="F419:F422" si="79">"15"</f>
        <v>15</v>
      </c>
      <c r="G419" s="5">
        <v>0</v>
      </c>
      <c r="H419" s="5" t="s">
        <v>74</v>
      </c>
      <c r="I419" s="5">
        <v>0</v>
      </c>
      <c r="J419" s="5" t="s">
        <v>74</v>
      </c>
      <c r="K419" s="7">
        <v>0</v>
      </c>
      <c r="L419" s="8">
        <v>62</v>
      </c>
      <c r="M419" s="9"/>
    </row>
    <row r="420" s="1" customFormat="1" ht="20.1" customHeight="1" spans="1:13">
      <c r="A420" s="4" t="str">
        <f>"37502022022821481423031"</f>
        <v>37502022022821481423031</v>
      </c>
      <c r="B420" s="4" t="s">
        <v>359</v>
      </c>
      <c r="C420" s="4" t="s">
        <v>431</v>
      </c>
      <c r="D420" s="4" t="str">
        <f>"20220051415"</f>
        <v>20220051415</v>
      </c>
      <c r="E420" s="4" t="str">
        <f>"14"</f>
        <v>14</v>
      </c>
      <c r="F420" s="4" t="str">
        <f t="shared" si="79"/>
        <v>15</v>
      </c>
      <c r="G420" s="5">
        <v>0</v>
      </c>
      <c r="H420" s="5" t="s">
        <v>74</v>
      </c>
      <c r="I420" s="5">
        <v>0</v>
      </c>
      <c r="J420" s="5" t="s">
        <v>74</v>
      </c>
      <c r="K420" s="7">
        <v>0</v>
      </c>
      <c r="L420" s="8">
        <v>62</v>
      </c>
      <c r="M420" s="9"/>
    </row>
    <row r="421" s="1" customFormat="1" ht="20.1" customHeight="1" spans="1:13">
      <c r="A421" s="4" t="str">
        <f>"37502022030112311223641"</f>
        <v>37502022030112311223641</v>
      </c>
      <c r="B421" s="4" t="s">
        <v>359</v>
      </c>
      <c r="C421" s="4" t="s">
        <v>432</v>
      </c>
      <c r="D421" s="4" t="str">
        <f>"20220051302"</f>
        <v>20220051302</v>
      </c>
      <c r="E421" s="4" t="str">
        <f>"13"</f>
        <v>13</v>
      </c>
      <c r="F421" s="4" t="str">
        <f>"02"</f>
        <v>02</v>
      </c>
      <c r="G421" s="5">
        <v>0</v>
      </c>
      <c r="H421" s="5" t="s">
        <v>74</v>
      </c>
      <c r="I421" s="5">
        <v>0</v>
      </c>
      <c r="J421" s="5" t="s">
        <v>74</v>
      </c>
      <c r="K421" s="7">
        <v>0</v>
      </c>
      <c r="L421" s="8">
        <v>62</v>
      </c>
      <c r="M421" s="9"/>
    </row>
    <row r="422" s="1" customFormat="1" ht="20.1" customHeight="1" spans="1:13">
      <c r="A422" s="4" t="str">
        <f>"37502022030116143523996"</f>
        <v>37502022030116143523996</v>
      </c>
      <c r="B422" s="4" t="s">
        <v>359</v>
      </c>
      <c r="C422" s="4" t="s">
        <v>433</v>
      </c>
      <c r="D422" s="4" t="str">
        <f>"20220051215"</f>
        <v>20220051215</v>
      </c>
      <c r="E422" s="4" t="str">
        <f t="shared" ref="E422:E425" si="80">"12"</f>
        <v>12</v>
      </c>
      <c r="F422" s="4" t="str">
        <f t="shared" si="79"/>
        <v>15</v>
      </c>
      <c r="G422" s="5">
        <v>0</v>
      </c>
      <c r="H422" s="5" t="s">
        <v>74</v>
      </c>
      <c r="I422" s="5">
        <v>0</v>
      </c>
      <c r="J422" s="5" t="s">
        <v>74</v>
      </c>
      <c r="K422" s="7">
        <v>0</v>
      </c>
      <c r="L422" s="8">
        <v>62</v>
      </c>
      <c r="M422" s="9"/>
    </row>
    <row r="423" s="1" customFormat="1" ht="20.1" customHeight="1" spans="1:13">
      <c r="A423" s="4" t="str">
        <f>"37502022030121560324634"</f>
        <v>37502022030121560324634</v>
      </c>
      <c r="B423" s="4" t="s">
        <v>359</v>
      </c>
      <c r="C423" s="4" t="s">
        <v>434</v>
      </c>
      <c r="D423" s="4" t="str">
        <f>"20220051222"</f>
        <v>20220051222</v>
      </c>
      <c r="E423" s="4" t="str">
        <f t="shared" si="80"/>
        <v>12</v>
      </c>
      <c r="F423" s="4" t="str">
        <f>"22"</f>
        <v>22</v>
      </c>
      <c r="G423" s="5">
        <v>0</v>
      </c>
      <c r="H423" s="5" t="s">
        <v>74</v>
      </c>
      <c r="I423" s="5">
        <v>0</v>
      </c>
      <c r="J423" s="5" t="s">
        <v>74</v>
      </c>
      <c r="K423" s="7">
        <v>0</v>
      </c>
      <c r="L423" s="8">
        <v>62</v>
      </c>
      <c r="M423" s="9"/>
    </row>
    <row r="424" s="1" customFormat="1" ht="20.1" customHeight="1" spans="1:13">
      <c r="A424" s="4" t="str">
        <f>"37502022030123041124721"</f>
        <v>37502022030123041124721</v>
      </c>
      <c r="B424" s="4" t="s">
        <v>359</v>
      </c>
      <c r="C424" s="4" t="s">
        <v>435</v>
      </c>
      <c r="D424" s="4" t="str">
        <f>"20220051330"</f>
        <v>20220051330</v>
      </c>
      <c r="E424" s="4" t="str">
        <f>"13"</f>
        <v>13</v>
      </c>
      <c r="F424" s="4" t="str">
        <f>"30"</f>
        <v>30</v>
      </c>
      <c r="G424" s="5">
        <v>0</v>
      </c>
      <c r="H424" s="5" t="s">
        <v>74</v>
      </c>
      <c r="I424" s="5">
        <v>0</v>
      </c>
      <c r="J424" s="5" t="s">
        <v>74</v>
      </c>
      <c r="K424" s="7">
        <v>0</v>
      </c>
      <c r="L424" s="8">
        <v>62</v>
      </c>
      <c r="M424" s="9"/>
    </row>
    <row r="425" s="1" customFormat="1" ht="20.1" customHeight="1" spans="1:13">
      <c r="A425" s="4" t="str">
        <f>"37502022030123144624732"</f>
        <v>37502022030123144624732</v>
      </c>
      <c r="B425" s="4" t="s">
        <v>359</v>
      </c>
      <c r="C425" s="4" t="s">
        <v>436</v>
      </c>
      <c r="D425" s="4" t="str">
        <f>"20220051229"</f>
        <v>20220051229</v>
      </c>
      <c r="E425" s="4" t="str">
        <f t="shared" si="80"/>
        <v>12</v>
      </c>
      <c r="F425" s="4" t="str">
        <f>"29"</f>
        <v>29</v>
      </c>
      <c r="G425" s="5">
        <v>0</v>
      </c>
      <c r="H425" s="5" t="s">
        <v>74</v>
      </c>
      <c r="I425" s="5">
        <v>0</v>
      </c>
      <c r="J425" s="5" t="s">
        <v>74</v>
      </c>
      <c r="K425" s="7">
        <v>0</v>
      </c>
      <c r="L425" s="8">
        <v>62</v>
      </c>
      <c r="M425" s="9"/>
    </row>
    <row r="426" s="1" customFormat="1" ht="20.1" customHeight="1" spans="1:13">
      <c r="A426" s="4" t="str">
        <f>"37502022030204390624782"</f>
        <v>37502022030204390624782</v>
      </c>
      <c r="B426" s="4" t="s">
        <v>359</v>
      </c>
      <c r="C426" s="4" t="s">
        <v>437</v>
      </c>
      <c r="D426" s="4" t="str">
        <f>"20220051407"</f>
        <v>20220051407</v>
      </c>
      <c r="E426" s="4" t="str">
        <f>"14"</f>
        <v>14</v>
      </c>
      <c r="F426" s="4" t="str">
        <f>"07"</f>
        <v>07</v>
      </c>
      <c r="G426" s="5">
        <v>0</v>
      </c>
      <c r="H426" s="5" t="s">
        <v>74</v>
      </c>
      <c r="I426" s="5">
        <v>0</v>
      </c>
      <c r="J426" s="5" t="s">
        <v>74</v>
      </c>
      <c r="K426" s="7">
        <v>0</v>
      </c>
      <c r="L426" s="8">
        <v>62</v>
      </c>
      <c r="M426" s="9"/>
    </row>
    <row r="427" s="1" customFormat="1" ht="20.1" customHeight="1" spans="1:13">
      <c r="A427" s="4" t="str">
        <f>"37502022030209054324879"</f>
        <v>37502022030209054324879</v>
      </c>
      <c r="B427" s="4" t="s">
        <v>359</v>
      </c>
      <c r="C427" s="4" t="s">
        <v>438</v>
      </c>
      <c r="D427" s="4" t="str">
        <f>"20220051428"</f>
        <v>20220051428</v>
      </c>
      <c r="E427" s="4" t="str">
        <f>"14"</f>
        <v>14</v>
      </c>
      <c r="F427" s="4" t="str">
        <f>"28"</f>
        <v>28</v>
      </c>
      <c r="G427" s="5">
        <v>0</v>
      </c>
      <c r="H427" s="5" t="s">
        <v>74</v>
      </c>
      <c r="I427" s="5">
        <v>0</v>
      </c>
      <c r="J427" s="5" t="s">
        <v>74</v>
      </c>
      <c r="K427" s="7">
        <v>0</v>
      </c>
      <c r="L427" s="8">
        <v>62</v>
      </c>
      <c r="M427" s="9"/>
    </row>
    <row r="428" s="1" customFormat="1" ht="20.1" customHeight="1" spans="1:13">
      <c r="A428" s="4" t="str">
        <f>"37502022030209500024959"</f>
        <v>37502022030209500024959</v>
      </c>
      <c r="B428" s="4" t="s">
        <v>359</v>
      </c>
      <c r="C428" s="4" t="s">
        <v>439</v>
      </c>
      <c r="D428" s="4" t="str">
        <f>"20220051506"</f>
        <v>20220051506</v>
      </c>
      <c r="E428" s="4" t="str">
        <f>"15"</f>
        <v>15</v>
      </c>
      <c r="F428" s="4" t="str">
        <f>"06"</f>
        <v>06</v>
      </c>
      <c r="G428" s="5">
        <v>0</v>
      </c>
      <c r="H428" s="5" t="s">
        <v>74</v>
      </c>
      <c r="I428" s="5">
        <v>0</v>
      </c>
      <c r="J428" s="5" t="s">
        <v>74</v>
      </c>
      <c r="K428" s="7">
        <v>0</v>
      </c>
      <c r="L428" s="8">
        <v>62</v>
      </c>
      <c r="M428" s="9"/>
    </row>
    <row r="429" s="1" customFormat="1" ht="20.1" customHeight="1" spans="1:13">
      <c r="A429" s="4" t="str">
        <f>"37502022030210423625047"</f>
        <v>37502022030210423625047</v>
      </c>
      <c r="B429" s="4" t="s">
        <v>359</v>
      </c>
      <c r="C429" s="4" t="s">
        <v>19</v>
      </c>
      <c r="D429" s="4" t="str">
        <f>"20220051328"</f>
        <v>20220051328</v>
      </c>
      <c r="E429" s="4" t="str">
        <f t="shared" ref="E429:E431" si="81">"13"</f>
        <v>13</v>
      </c>
      <c r="F429" s="4" t="str">
        <f>"28"</f>
        <v>28</v>
      </c>
      <c r="G429" s="5">
        <v>0</v>
      </c>
      <c r="H429" s="5" t="s">
        <v>74</v>
      </c>
      <c r="I429" s="5">
        <v>0</v>
      </c>
      <c r="J429" s="5" t="s">
        <v>74</v>
      </c>
      <c r="K429" s="7">
        <v>0</v>
      </c>
      <c r="L429" s="8">
        <v>62</v>
      </c>
      <c r="M429" s="9"/>
    </row>
    <row r="430" s="1" customFormat="1" ht="20.1" customHeight="1" spans="1:13">
      <c r="A430" s="4" t="str">
        <f>"37502022030211552525168"</f>
        <v>37502022030211552525168</v>
      </c>
      <c r="B430" s="4" t="s">
        <v>359</v>
      </c>
      <c r="C430" s="4" t="s">
        <v>440</v>
      </c>
      <c r="D430" s="4" t="str">
        <f>"20220051304"</f>
        <v>20220051304</v>
      </c>
      <c r="E430" s="4" t="str">
        <f t="shared" si="81"/>
        <v>13</v>
      </c>
      <c r="F430" s="4" t="str">
        <f>"04"</f>
        <v>04</v>
      </c>
      <c r="G430" s="5">
        <v>0</v>
      </c>
      <c r="H430" s="5" t="s">
        <v>74</v>
      </c>
      <c r="I430" s="5">
        <v>0</v>
      </c>
      <c r="J430" s="5" t="s">
        <v>74</v>
      </c>
      <c r="K430" s="7">
        <v>0</v>
      </c>
      <c r="L430" s="8">
        <v>62</v>
      </c>
      <c r="M430" s="9"/>
    </row>
    <row r="431" s="1" customFormat="1" ht="20.1" customHeight="1" spans="1:13">
      <c r="A431" s="4" t="str">
        <f>"37502022030215300225474"</f>
        <v>37502022030215300225474</v>
      </c>
      <c r="B431" s="4" t="s">
        <v>359</v>
      </c>
      <c r="C431" s="4" t="s">
        <v>441</v>
      </c>
      <c r="D431" s="4" t="str">
        <f>"20220051310"</f>
        <v>20220051310</v>
      </c>
      <c r="E431" s="4" t="str">
        <f t="shared" si="81"/>
        <v>13</v>
      </c>
      <c r="F431" s="4" t="str">
        <f>"10"</f>
        <v>10</v>
      </c>
      <c r="G431" s="5">
        <v>0</v>
      </c>
      <c r="H431" s="5" t="s">
        <v>74</v>
      </c>
      <c r="I431" s="5">
        <v>0</v>
      </c>
      <c r="J431" s="5" t="s">
        <v>74</v>
      </c>
      <c r="K431" s="7">
        <v>0</v>
      </c>
      <c r="L431" s="8">
        <v>62</v>
      </c>
      <c r="M431" s="9"/>
    </row>
    <row r="432" s="1" customFormat="1" ht="20.1" customHeight="1" spans="1:13">
      <c r="A432" s="4" t="str">
        <f>"37502022030218515425748"</f>
        <v>37502022030218515425748</v>
      </c>
      <c r="B432" s="4" t="s">
        <v>359</v>
      </c>
      <c r="C432" s="4" t="s">
        <v>442</v>
      </c>
      <c r="D432" s="4" t="str">
        <f>"20220051223"</f>
        <v>20220051223</v>
      </c>
      <c r="E432" s="4" t="str">
        <f>"12"</f>
        <v>12</v>
      </c>
      <c r="F432" s="4" t="str">
        <f>"23"</f>
        <v>23</v>
      </c>
      <c r="G432" s="5">
        <v>0</v>
      </c>
      <c r="H432" s="5" t="s">
        <v>74</v>
      </c>
      <c r="I432" s="5">
        <v>0</v>
      </c>
      <c r="J432" s="5" t="s">
        <v>74</v>
      </c>
      <c r="K432" s="7">
        <v>0</v>
      </c>
      <c r="L432" s="8">
        <v>62</v>
      </c>
      <c r="M432" s="9"/>
    </row>
    <row r="433" s="1" customFormat="1" ht="20.1" customHeight="1" spans="1:13">
      <c r="A433" s="4" t="str">
        <f>"37502022030219514525845"</f>
        <v>37502022030219514525845</v>
      </c>
      <c r="B433" s="4" t="s">
        <v>359</v>
      </c>
      <c r="C433" s="4" t="s">
        <v>443</v>
      </c>
      <c r="D433" s="4" t="str">
        <f>"20220051409"</f>
        <v>20220051409</v>
      </c>
      <c r="E433" s="4" t="str">
        <f>"14"</f>
        <v>14</v>
      </c>
      <c r="F433" s="4" t="str">
        <f>"09"</f>
        <v>09</v>
      </c>
      <c r="G433" s="5">
        <v>0</v>
      </c>
      <c r="H433" s="5" t="s">
        <v>74</v>
      </c>
      <c r="I433" s="5">
        <v>0</v>
      </c>
      <c r="J433" s="5" t="s">
        <v>74</v>
      </c>
      <c r="K433" s="7">
        <v>0</v>
      </c>
      <c r="L433" s="8">
        <v>62</v>
      </c>
      <c r="M433" s="9"/>
    </row>
    <row r="434" s="1" customFormat="1" ht="20.1" customHeight="1" spans="1:13">
      <c r="A434" s="4" t="str">
        <f>"37502022022610151518876"</f>
        <v>37502022022610151518876</v>
      </c>
      <c r="B434" s="4" t="s">
        <v>444</v>
      </c>
      <c r="C434" s="4" t="s">
        <v>445</v>
      </c>
      <c r="D434" s="4" t="str">
        <f>"20220061613"</f>
        <v>20220061613</v>
      </c>
      <c r="E434" s="4" t="str">
        <f t="shared" ref="E434:E437" si="82">"16"</f>
        <v>16</v>
      </c>
      <c r="F434" s="4" t="str">
        <f>"13"</f>
        <v>13</v>
      </c>
      <c r="G434" s="5">
        <v>74.73</v>
      </c>
      <c r="H434" s="5" t="s">
        <v>14</v>
      </c>
      <c r="I434" s="5">
        <v>85.9</v>
      </c>
      <c r="J434" s="5" t="s">
        <v>14</v>
      </c>
      <c r="K434" s="7">
        <v>82.55</v>
      </c>
      <c r="L434" s="8">
        <v>1</v>
      </c>
      <c r="M434" s="9"/>
    </row>
    <row r="435" s="1" customFormat="1" ht="20.1" customHeight="1" spans="1:13">
      <c r="A435" s="4" t="str">
        <f>"37502022030109382723264"</f>
        <v>37502022030109382723264</v>
      </c>
      <c r="B435" s="4" t="s">
        <v>444</v>
      </c>
      <c r="C435" s="4" t="s">
        <v>446</v>
      </c>
      <c r="D435" s="4" t="str">
        <f>"20220061730"</f>
        <v>20220061730</v>
      </c>
      <c r="E435" s="4" t="str">
        <f>"17"</f>
        <v>17</v>
      </c>
      <c r="F435" s="4" t="str">
        <f>"30"</f>
        <v>30</v>
      </c>
      <c r="G435" s="5">
        <v>83.24</v>
      </c>
      <c r="H435" s="5" t="s">
        <v>14</v>
      </c>
      <c r="I435" s="5">
        <v>82.2</v>
      </c>
      <c r="J435" s="5" t="s">
        <v>14</v>
      </c>
      <c r="K435" s="7">
        <v>82.51</v>
      </c>
      <c r="L435" s="8">
        <v>2</v>
      </c>
      <c r="M435" s="9"/>
    </row>
    <row r="436" s="1" customFormat="1" ht="20.1" customHeight="1" spans="1:13">
      <c r="A436" s="4" t="str">
        <f>"37502022022610292818924"</f>
        <v>37502022022610292818924</v>
      </c>
      <c r="B436" s="4" t="s">
        <v>444</v>
      </c>
      <c r="C436" s="4" t="s">
        <v>447</v>
      </c>
      <c r="D436" s="4" t="str">
        <f>"20220061612"</f>
        <v>20220061612</v>
      </c>
      <c r="E436" s="4" t="str">
        <f t="shared" si="82"/>
        <v>16</v>
      </c>
      <c r="F436" s="4" t="str">
        <f>"12"</f>
        <v>12</v>
      </c>
      <c r="G436" s="5">
        <v>79.85</v>
      </c>
      <c r="H436" s="5" t="s">
        <v>14</v>
      </c>
      <c r="I436" s="5">
        <v>83</v>
      </c>
      <c r="J436" s="5" t="s">
        <v>14</v>
      </c>
      <c r="K436" s="7">
        <v>82.06</v>
      </c>
      <c r="L436" s="8">
        <v>3</v>
      </c>
      <c r="M436" s="9"/>
    </row>
    <row r="437" s="1" customFormat="1" ht="20.1" customHeight="1" spans="1:13">
      <c r="A437" s="4" t="str">
        <f>"37502022022609423418777"</f>
        <v>37502022022609423418777</v>
      </c>
      <c r="B437" s="4" t="s">
        <v>444</v>
      </c>
      <c r="C437" s="4" t="s">
        <v>448</v>
      </c>
      <c r="D437" s="4" t="str">
        <f>"20220061625"</f>
        <v>20220061625</v>
      </c>
      <c r="E437" s="4" t="str">
        <f t="shared" si="82"/>
        <v>16</v>
      </c>
      <c r="F437" s="4" t="str">
        <f>"25"</f>
        <v>25</v>
      </c>
      <c r="G437" s="5">
        <v>78.82</v>
      </c>
      <c r="H437" s="5" t="s">
        <v>14</v>
      </c>
      <c r="I437" s="5">
        <v>81.2</v>
      </c>
      <c r="J437" s="5" t="s">
        <v>14</v>
      </c>
      <c r="K437" s="7">
        <v>80.49</v>
      </c>
      <c r="L437" s="8">
        <v>4</v>
      </c>
      <c r="M437" s="9"/>
    </row>
    <row r="438" s="1" customFormat="1" ht="20.1" customHeight="1" spans="1:13">
      <c r="A438" s="4" t="str">
        <f>"37502022030111093723497"</f>
        <v>37502022030111093723497</v>
      </c>
      <c r="B438" s="4" t="s">
        <v>444</v>
      </c>
      <c r="C438" s="4" t="s">
        <v>449</v>
      </c>
      <c r="D438" s="4" t="str">
        <f>"20220061717"</f>
        <v>20220061717</v>
      </c>
      <c r="E438" s="4" t="str">
        <f t="shared" ref="E438:E444" si="83">"17"</f>
        <v>17</v>
      </c>
      <c r="F438" s="4" t="str">
        <f>"17"</f>
        <v>17</v>
      </c>
      <c r="G438" s="5">
        <v>76.76</v>
      </c>
      <c r="H438" s="5" t="s">
        <v>14</v>
      </c>
      <c r="I438" s="5">
        <v>81.5</v>
      </c>
      <c r="J438" s="5" t="s">
        <v>14</v>
      </c>
      <c r="K438" s="7">
        <v>80.08</v>
      </c>
      <c r="L438" s="8">
        <v>5</v>
      </c>
      <c r="M438" s="9"/>
    </row>
    <row r="439" s="1" customFormat="1" ht="20.1" customHeight="1" spans="1:13">
      <c r="A439" s="4" t="str">
        <f>"37502022022610080618830"</f>
        <v>37502022022610080618830</v>
      </c>
      <c r="B439" s="4" t="s">
        <v>444</v>
      </c>
      <c r="C439" s="4" t="s">
        <v>450</v>
      </c>
      <c r="D439" s="4" t="str">
        <f>"20220061622"</f>
        <v>20220061622</v>
      </c>
      <c r="E439" s="4" t="str">
        <f>"16"</f>
        <v>16</v>
      </c>
      <c r="F439" s="4" t="str">
        <f>"22"</f>
        <v>22</v>
      </c>
      <c r="G439" s="5">
        <v>78.2</v>
      </c>
      <c r="H439" s="5" t="s">
        <v>14</v>
      </c>
      <c r="I439" s="5">
        <v>80.7</v>
      </c>
      <c r="J439" s="5" t="s">
        <v>14</v>
      </c>
      <c r="K439" s="7">
        <v>79.95</v>
      </c>
      <c r="L439" s="8">
        <v>6</v>
      </c>
      <c r="M439" s="9"/>
    </row>
    <row r="440" s="1" customFormat="1" ht="20.1" customHeight="1" spans="1:13">
      <c r="A440" s="4" t="str">
        <f>"37502022022609371218741"</f>
        <v>37502022022609371218741</v>
      </c>
      <c r="B440" s="4" t="s">
        <v>444</v>
      </c>
      <c r="C440" s="4" t="s">
        <v>451</v>
      </c>
      <c r="D440" s="4" t="str">
        <f>"20220061520"</f>
        <v>20220061520</v>
      </c>
      <c r="E440" s="4" t="str">
        <f>"15"</f>
        <v>15</v>
      </c>
      <c r="F440" s="4" t="str">
        <f>"20"</f>
        <v>20</v>
      </c>
      <c r="G440" s="5">
        <v>78.38</v>
      </c>
      <c r="H440" s="5" t="s">
        <v>14</v>
      </c>
      <c r="I440" s="5">
        <v>79.5</v>
      </c>
      <c r="J440" s="5" t="s">
        <v>14</v>
      </c>
      <c r="K440" s="7">
        <v>79.16</v>
      </c>
      <c r="L440" s="8">
        <v>7</v>
      </c>
      <c r="M440" s="9"/>
    </row>
    <row r="441" s="1" customFormat="1" ht="20.1" customHeight="1" spans="1:13">
      <c r="A441" s="4" t="str">
        <f>"37502022022619534219582"</f>
        <v>37502022022619534219582</v>
      </c>
      <c r="B441" s="4" t="s">
        <v>444</v>
      </c>
      <c r="C441" s="4" t="s">
        <v>452</v>
      </c>
      <c r="D441" s="4" t="str">
        <f>"20220061626"</f>
        <v>20220061626</v>
      </c>
      <c r="E441" s="4" t="str">
        <f>"16"</f>
        <v>16</v>
      </c>
      <c r="F441" s="4" t="str">
        <f>"26"</f>
        <v>26</v>
      </c>
      <c r="G441" s="5">
        <v>81.04</v>
      </c>
      <c r="H441" s="5" t="s">
        <v>14</v>
      </c>
      <c r="I441" s="5">
        <v>77.6</v>
      </c>
      <c r="J441" s="5" t="s">
        <v>14</v>
      </c>
      <c r="K441" s="7">
        <v>78.63</v>
      </c>
      <c r="L441" s="8">
        <v>8</v>
      </c>
      <c r="M441" s="9"/>
    </row>
    <row r="442" s="1" customFormat="1" ht="20.1" customHeight="1" spans="1:13">
      <c r="A442" s="4" t="str">
        <f>"37502022022610155118879"</f>
        <v>37502022022610155118879</v>
      </c>
      <c r="B442" s="4" t="s">
        <v>444</v>
      </c>
      <c r="C442" s="4" t="s">
        <v>453</v>
      </c>
      <c r="D442" s="4" t="str">
        <f>"20220061707"</f>
        <v>20220061707</v>
      </c>
      <c r="E442" s="4" t="str">
        <f t="shared" si="83"/>
        <v>17</v>
      </c>
      <c r="F442" s="4" t="str">
        <f>"07"</f>
        <v>07</v>
      </c>
      <c r="G442" s="5">
        <v>72.97</v>
      </c>
      <c r="H442" s="5" t="s">
        <v>14</v>
      </c>
      <c r="I442" s="5">
        <v>80.1</v>
      </c>
      <c r="J442" s="5" t="s">
        <v>14</v>
      </c>
      <c r="K442" s="7">
        <v>77.96</v>
      </c>
      <c r="L442" s="8">
        <v>9</v>
      </c>
      <c r="M442" s="9"/>
    </row>
    <row r="443" s="1" customFormat="1" ht="20.1" customHeight="1" spans="1:13">
      <c r="A443" s="4" t="str">
        <f>"37502022022823311723083"</f>
        <v>37502022022823311723083</v>
      </c>
      <c r="B443" s="4" t="s">
        <v>444</v>
      </c>
      <c r="C443" s="4" t="s">
        <v>454</v>
      </c>
      <c r="D443" s="4" t="str">
        <f>"20220061709"</f>
        <v>20220061709</v>
      </c>
      <c r="E443" s="4" t="str">
        <f t="shared" si="83"/>
        <v>17</v>
      </c>
      <c r="F443" s="4" t="str">
        <f>"09"</f>
        <v>09</v>
      </c>
      <c r="G443" s="5">
        <v>76.66</v>
      </c>
      <c r="H443" s="5" t="s">
        <v>14</v>
      </c>
      <c r="I443" s="5">
        <v>78.5</v>
      </c>
      <c r="J443" s="5" t="s">
        <v>14</v>
      </c>
      <c r="K443" s="7">
        <v>77.95</v>
      </c>
      <c r="L443" s="8">
        <v>10</v>
      </c>
      <c r="M443" s="9"/>
    </row>
    <row r="444" s="1" customFormat="1" ht="20.1" customHeight="1" spans="1:13">
      <c r="A444" s="4" t="str">
        <f>"37502022022714202920241"</f>
        <v>37502022022714202920241</v>
      </c>
      <c r="B444" s="4" t="s">
        <v>444</v>
      </c>
      <c r="C444" s="4" t="s">
        <v>455</v>
      </c>
      <c r="D444" s="4" t="str">
        <f>"20220061716"</f>
        <v>20220061716</v>
      </c>
      <c r="E444" s="4" t="str">
        <f t="shared" si="83"/>
        <v>17</v>
      </c>
      <c r="F444" s="4" t="str">
        <f>"16"</f>
        <v>16</v>
      </c>
      <c r="G444" s="5">
        <v>76.17</v>
      </c>
      <c r="H444" s="5" t="s">
        <v>14</v>
      </c>
      <c r="I444" s="5">
        <v>78.4</v>
      </c>
      <c r="J444" s="5" t="s">
        <v>14</v>
      </c>
      <c r="K444" s="7">
        <v>77.73</v>
      </c>
      <c r="L444" s="8">
        <v>11</v>
      </c>
      <c r="M444" s="9"/>
    </row>
    <row r="445" s="1" customFormat="1" ht="20.1" customHeight="1" spans="1:13">
      <c r="A445" s="4" t="str">
        <f>"37502022030119150624326"</f>
        <v>37502022030119150624326</v>
      </c>
      <c r="B445" s="4" t="s">
        <v>444</v>
      </c>
      <c r="C445" s="4" t="s">
        <v>456</v>
      </c>
      <c r="D445" s="4" t="str">
        <f>"20220061618"</f>
        <v>20220061618</v>
      </c>
      <c r="E445" s="4" t="str">
        <f t="shared" ref="E445:E449" si="84">"16"</f>
        <v>16</v>
      </c>
      <c r="F445" s="4" t="str">
        <f>"18"</f>
        <v>18</v>
      </c>
      <c r="G445" s="5">
        <v>74.48</v>
      </c>
      <c r="H445" s="5" t="s">
        <v>14</v>
      </c>
      <c r="I445" s="5">
        <v>79.1</v>
      </c>
      <c r="J445" s="5" t="s">
        <v>14</v>
      </c>
      <c r="K445" s="7">
        <v>77.71</v>
      </c>
      <c r="L445" s="8">
        <v>12</v>
      </c>
      <c r="M445" s="9"/>
    </row>
    <row r="446" s="1" customFormat="1" ht="20.1" customHeight="1" spans="1:13">
      <c r="A446" s="4" t="str">
        <f>"37502022022716044120403"</f>
        <v>37502022022716044120403</v>
      </c>
      <c r="B446" s="4" t="s">
        <v>444</v>
      </c>
      <c r="C446" s="4" t="s">
        <v>457</v>
      </c>
      <c r="D446" s="4" t="str">
        <f>"20220061522"</f>
        <v>20220061522</v>
      </c>
      <c r="E446" s="4" t="str">
        <f>"15"</f>
        <v>15</v>
      </c>
      <c r="F446" s="4" t="str">
        <f>"22"</f>
        <v>22</v>
      </c>
      <c r="G446" s="5">
        <v>81.44</v>
      </c>
      <c r="H446" s="5" t="s">
        <v>14</v>
      </c>
      <c r="I446" s="5">
        <v>76</v>
      </c>
      <c r="J446" s="5" t="s">
        <v>14</v>
      </c>
      <c r="K446" s="7">
        <v>77.63</v>
      </c>
      <c r="L446" s="8">
        <v>13</v>
      </c>
      <c r="M446" s="9"/>
    </row>
    <row r="447" s="1" customFormat="1" ht="20.1" customHeight="1" spans="1:13">
      <c r="A447" s="4" t="str">
        <f>"37502022030200305424765"</f>
        <v>37502022030200305424765</v>
      </c>
      <c r="B447" s="4" t="s">
        <v>444</v>
      </c>
      <c r="C447" s="4" t="s">
        <v>277</v>
      </c>
      <c r="D447" s="4" t="str">
        <f>"20220061628"</f>
        <v>20220061628</v>
      </c>
      <c r="E447" s="4" t="str">
        <f t="shared" si="84"/>
        <v>16</v>
      </c>
      <c r="F447" s="4" t="str">
        <f>"28"</f>
        <v>28</v>
      </c>
      <c r="G447" s="5">
        <v>77.07</v>
      </c>
      <c r="H447" s="5" t="s">
        <v>14</v>
      </c>
      <c r="I447" s="5">
        <v>77.6</v>
      </c>
      <c r="J447" s="5" t="s">
        <v>14</v>
      </c>
      <c r="K447" s="7">
        <v>77.44</v>
      </c>
      <c r="L447" s="8">
        <v>14</v>
      </c>
      <c r="M447" s="9"/>
    </row>
    <row r="448" s="1" customFormat="1" ht="20.1" customHeight="1" spans="1:13">
      <c r="A448" s="4" t="str">
        <f>"37502022022618321819505"</f>
        <v>37502022022618321819505</v>
      </c>
      <c r="B448" s="4" t="s">
        <v>444</v>
      </c>
      <c r="C448" s="4" t="s">
        <v>458</v>
      </c>
      <c r="D448" s="4" t="str">
        <f>"20220061624"</f>
        <v>20220061624</v>
      </c>
      <c r="E448" s="4" t="str">
        <f t="shared" si="84"/>
        <v>16</v>
      </c>
      <c r="F448" s="4" t="str">
        <f>"24"</f>
        <v>24</v>
      </c>
      <c r="G448" s="5">
        <v>75.77</v>
      </c>
      <c r="H448" s="5" t="s">
        <v>14</v>
      </c>
      <c r="I448" s="5">
        <v>77.6</v>
      </c>
      <c r="J448" s="5" t="s">
        <v>14</v>
      </c>
      <c r="K448" s="7">
        <v>77.05</v>
      </c>
      <c r="L448" s="8">
        <v>15</v>
      </c>
      <c r="M448" s="9"/>
    </row>
    <row r="449" s="1" customFormat="1" ht="20.1" customHeight="1" spans="1:13">
      <c r="A449" s="4" t="str">
        <f>"37502022022618560419527"</f>
        <v>37502022022618560419527</v>
      </c>
      <c r="B449" s="4" t="s">
        <v>444</v>
      </c>
      <c r="C449" s="4" t="s">
        <v>459</v>
      </c>
      <c r="D449" s="4" t="str">
        <f>"20220061605"</f>
        <v>20220061605</v>
      </c>
      <c r="E449" s="4" t="str">
        <f t="shared" si="84"/>
        <v>16</v>
      </c>
      <c r="F449" s="4" t="str">
        <f>"05"</f>
        <v>05</v>
      </c>
      <c r="G449" s="5">
        <v>70.07</v>
      </c>
      <c r="H449" s="5" t="s">
        <v>14</v>
      </c>
      <c r="I449" s="5">
        <v>80</v>
      </c>
      <c r="J449" s="5" t="s">
        <v>14</v>
      </c>
      <c r="K449" s="7">
        <v>77.02</v>
      </c>
      <c r="L449" s="8">
        <v>16</v>
      </c>
      <c r="M449" s="9"/>
    </row>
    <row r="450" s="1" customFormat="1" ht="20.1" customHeight="1" spans="1:13">
      <c r="A450" s="4" t="str">
        <f>"37502022022610214418905"</f>
        <v>37502022022610214418905</v>
      </c>
      <c r="B450" s="4" t="s">
        <v>444</v>
      </c>
      <c r="C450" s="4" t="s">
        <v>460</v>
      </c>
      <c r="D450" s="4" t="str">
        <f>"20220061710"</f>
        <v>20220061710</v>
      </c>
      <c r="E450" s="4" t="str">
        <f t="shared" ref="E450:E456" si="85">"17"</f>
        <v>17</v>
      </c>
      <c r="F450" s="4" t="str">
        <f>"10"</f>
        <v>10</v>
      </c>
      <c r="G450" s="5">
        <v>70.16</v>
      </c>
      <c r="H450" s="5" t="s">
        <v>14</v>
      </c>
      <c r="I450" s="5">
        <v>79.5</v>
      </c>
      <c r="J450" s="5" t="s">
        <v>14</v>
      </c>
      <c r="K450" s="7">
        <v>76.7</v>
      </c>
      <c r="L450" s="8">
        <v>17</v>
      </c>
      <c r="M450" s="9"/>
    </row>
    <row r="451" s="1" customFormat="1" ht="20.1" customHeight="1" spans="1:13">
      <c r="A451" s="4" t="str">
        <f>"37502022022612213919077"</f>
        <v>37502022022612213919077</v>
      </c>
      <c r="B451" s="4" t="s">
        <v>444</v>
      </c>
      <c r="C451" s="4" t="s">
        <v>461</v>
      </c>
      <c r="D451" s="4" t="str">
        <f>"20220061516"</f>
        <v>20220061516</v>
      </c>
      <c r="E451" s="4" t="str">
        <f>"15"</f>
        <v>15</v>
      </c>
      <c r="F451" s="4" t="str">
        <f>"16"</f>
        <v>16</v>
      </c>
      <c r="G451" s="5">
        <v>71.07</v>
      </c>
      <c r="H451" s="5" t="s">
        <v>14</v>
      </c>
      <c r="I451" s="5">
        <v>79.1</v>
      </c>
      <c r="J451" s="5" t="s">
        <v>14</v>
      </c>
      <c r="K451" s="7">
        <v>76.69</v>
      </c>
      <c r="L451" s="8">
        <v>18</v>
      </c>
      <c r="M451" s="9"/>
    </row>
    <row r="452" s="1" customFormat="1" ht="20.1" customHeight="1" spans="1:13">
      <c r="A452" s="4" t="str">
        <f>"37502022030110280723398"</f>
        <v>37502022030110280723398</v>
      </c>
      <c r="B452" s="4" t="s">
        <v>444</v>
      </c>
      <c r="C452" s="4" t="s">
        <v>462</v>
      </c>
      <c r="D452" s="4" t="str">
        <f>"20220061722"</f>
        <v>20220061722</v>
      </c>
      <c r="E452" s="4" t="str">
        <f t="shared" si="85"/>
        <v>17</v>
      </c>
      <c r="F452" s="4" t="str">
        <f>"22"</f>
        <v>22</v>
      </c>
      <c r="G452" s="5">
        <v>75.04</v>
      </c>
      <c r="H452" s="5" t="s">
        <v>14</v>
      </c>
      <c r="I452" s="5">
        <v>77.1</v>
      </c>
      <c r="J452" s="5" t="s">
        <v>14</v>
      </c>
      <c r="K452" s="7">
        <v>76.48</v>
      </c>
      <c r="L452" s="8">
        <v>19</v>
      </c>
      <c r="M452" s="9"/>
    </row>
    <row r="453" s="1" customFormat="1" ht="20.1" customHeight="1" spans="1:13">
      <c r="A453" s="4" t="str">
        <f>"37502022030113310523757"</f>
        <v>37502022030113310523757</v>
      </c>
      <c r="B453" s="4" t="s">
        <v>444</v>
      </c>
      <c r="C453" s="4" t="s">
        <v>463</v>
      </c>
      <c r="D453" s="4" t="str">
        <f>"20220061606"</f>
        <v>20220061606</v>
      </c>
      <c r="E453" s="4" t="str">
        <f>"16"</f>
        <v>16</v>
      </c>
      <c r="F453" s="4" t="str">
        <f>"06"</f>
        <v>06</v>
      </c>
      <c r="G453" s="5">
        <v>71.01</v>
      </c>
      <c r="H453" s="5" t="s">
        <v>14</v>
      </c>
      <c r="I453" s="5">
        <v>78.3</v>
      </c>
      <c r="J453" s="5" t="s">
        <v>14</v>
      </c>
      <c r="K453" s="7">
        <v>76.11</v>
      </c>
      <c r="L453" s="8">
        <v>20</v>
      </c>
      <c r="M453" s="9"/>
    </row>
    <row r="454" s="1" customFormat="1" ht="20.1" customHeight="1" spans="1:13">
      <c r="A454" s="4" t="str">
        <f>"37502022030207392524800"</f>
        <v>37502022030207392524800</v>
      </c>
      <c r="B454" s="4" t="s">
        <v>444</v>
      </c>
      <c r="C454" s="4" t="s">
        <v>464</v>
      </c>
      <c r="D454" s="4" t="str">
        <f>"20220061729"</f>
        <v>20220061729</v>
      </c>
      <c r="E454" s="4" t="str">
        <f t="shared" si="85"/>
        <v>17</v>
      </c>
      <c r="F454" s="4" t="str">
        <f>"29"</f>
        <v>29</v>
      </c>
      <c r="G454" s="5">
        <v>74.71</v>
      </c>
      <c r="H454" s="5" t="s">
        <v>14</v>
      </c>
      <c r="I454" s="5">
        <v>76.6</v>
      </c>
      <c r="J454" s="5" t="s">
        <v>14</v>
      </c>
      <c r="K454" s="7">
        <v>76.03</v>
      </c>
      <c r="L454" s="8">
        <v>21</v>
      </c>
      <c r="M454" s="9"/>
    </row>
    <row r="455" s="1" customFormat="1" ht="20.1" customHeight="1" spans="1:13">
      <c r="A455" s="4" t="str">
        <f>"37502022022619001319533"</f>
        <v>37502022022619001319533</v>
      </c>
      <c r="B455" s="4" t="s">
        <v>444</v>
      </c>
      <c r="C455" s="4" t="s">
        <v>465</v>
      </c>
      <c r="D455" s="4" t="str">
        <f>"20220061708"</f>
        <v>20220061708</v>
      </c>
      <c r="E455" s="4" t="str">
        <f t="shared" si="85"/>
        <v>17</v>
      </c>
      <c r="F455" s="4" t="str">
        <f>"08"</f>
        <v>08</v>
      </c>
      <c r="G455" s="5">
        <v>74.59</v>
      </c>
      <c r="H455" s="5" t="s">
        <v>14</v>
      </c>
      <c r="I455" s="5">
        <v>75</v>
      </c>
      <c r="J455" s="5" t="s">
        <v>14</v>
      </c>
      <c r="K455" s="7">
        <v>74.88</v>
      </c>
      <c r="L455" s="8">
        <v>22</v>
      </c>
      <c r="M455" s="9"/>
    </row>
    <row r="456" s="1" customFormat="1" ht="20.1" customHeight="1" spans="1:13">
      <c r="A456" s="4" t="str">
        <f>"37502022030110113423347"</f>
        <v>37502022030110113423347</v>
      </c>
      <c r="B456" s="4" t="s">
        <v>444</v>
      </c>
      <c r="C456" s="4" t="s">
        <v>466</v>
      </c>
      <c r="D456" s="4" t="str">
        <f>"20220061703"</f>
        <v>20220061703</v>
      </c>
      <c r="E456" s="4" t="str">
        <f t="shared" si="85"/>
        <v>17</v>
      </c>
      <c r="F456" s="4" t="str">
        <f>"03"</f>
        <v>03</v>
      </c>
      <c r="G456" s="5">
        <v>70.78</v>
      </c>
      <c r="H456" s="5" t="s">
        <v>14</v>
      </c>
      <c r="I456" s="5">
        <v>76.5</v>
      </c>
      <c r="J456" s="5" t="s">
        <v>14</v>
      </c>
      <c r="K456" s="7">
        <v>74.78</v>
      </c>
      <c r="L456" s="8">
        <v>23</v>
      </c>
      <c r="M456" s="9"/>
    </row>
    <row r="457" s="1" customFormat="1" ht="20.1" customHeight="1" spans="1:13">
      <c r="A457" s="4" t="str">
        <f>"37502022022809272121450"</f>
        <v>37502022022809272121450</v>
      </c>
      <c r="B457" s="4" t="s">
        <v>444</v>
      </c>
      <c r="C457" s="4" t="s">
        <v>467</v>
      </c>
      <c r="D457" s="4" t="str">
        <f>"20220061804"</f>
        <v>20220061804</v>
      </c>
      <c r="E457" s="4" t="str">
        <f>"18"</f>
        <v>18</v>
      </c>
      <c r="F457" s="4" t="str">
        <f>"04"</f>
        <v>04</v>
      </c>
      <c r="G457" s="5">
        <v>75.32</v>
      </c>
      <c r="H457" s="5" t="s">
        <v>14</v>
      </c>
      <c r="I457" s="5">
        <v>74.5</v>
      </c>
      <c r="J457" s="5" t="s">
        <v>14</v>
      </c>
      <c r="K457" s="7">
        <v>74.75</v>
      </c>
      <c r="L457" s="8">
        <v>24</v>
      </c>
      <c r="M457" s="9"/>
    </row>
    <row r="458" s="1" customFormat="1" ht="20.1" customHeight="1" spans="1:13">
      <c r="A458" s="4" t="str">
        <f>"37502022030110260723390"</f>
        <v>37502022030110260723390</v>
      </c>
      <c r="B458" s="4" t="s">
        <v>444</v>
      </c>
      <c r="C458" s="4" t="s">
        <v>468</v>
      </c>
      <c r="D458" s="4" t="str">
        <f>"20220061629"</f>
        <v>20220061629</v>
      </c>
      <c r="E458" s="4" t="str">
        <f t="shared" ref="E458:E462" si="86">"16"</f>
        <v>16</v>
      </c>
      <c r="F458" s="4" t="str">
        <f>"29"</f>
        <v>29</v>
      </c>
      <c r="G458" s="5">
        <v>75.18</v>
      </c>
      <c r="H458" s="5" t="s">
        <v>14</v>
      </c>
      <c r="I458" s="5">
        <v>74.2</v>
      </c>
      <c r="J458" s="5" t="s">
        <v>14</v>
      </c>
      <c r="K458" s="7">
        <v>74.49</v>
      </c>
      <c r="L458" s="8">
        <v>25</v>
      </c>
      <c r="M458" s="9"/>
    </row>
    <row r="459" s="1" customFormat="1" ht="20.1" customHeight="1" spans="1:13">
      <c r="A459" s="4" t="str">
        <f>"37502022030219175925794"</f>
        <v>37502022030219175925794</v>
      </c>
      <c r="B459" s="4" t="s">
        <v>444</v>
      </c>
      <c r="C459" s="4" t="s">
        <v>469</v>
      </c>
      <c r="D459" s="4" t="str">
        <f>"20220061617"</f>
        <v>20220061617</v>
      </c>
      <c r="E459" s="4" t="str">
        <f t="shared" si="86"/>
        <v>16</v>
      </c>
      <c r="F459" s="4" t="str">
        <f>"17"</f>
        <v>17</v>
      </c>
      <c r="G459" s="5">
        <v>71.61</v>
      </c>
      <c r="H459" s="5" t="s">
        <v>14</v>
      </c>
      <c r="I459" s="5">
        <v>75.6</v>
      </c>
      <c r="J459" s="5" t="s">
        <v>14</v>
      </c>
      <c r="K459" s="7">
        <v>74.4</v>
      </c>
      <c r="L459" s="8">
        <v>26</v>
      </c>
      <c r="M459" s="9"/>
    </row>
    <row r="460" s="1" customFormat="1" ht="20.1" customHeight="1" spans="1:13">
      <c r="A460" s="4" t="str">
        <f>"37502022022613290419163"</f>
        <v>37502022022613290419163</v>
      </c>
      <c r="B460" s="4" t="s">
        <v>444</v>
      </c>
      <c r="C460" s="4" t="s">
        <v>470</v>
      </c>
      <c r="D460" s="4" t="str">
        <f>"20220061727"</f>
        <v>20220061727</v>
      </c>
      <c r="E460" s="4" t="str">
        <f>"17"</f>
        <v>17</v>
      </c>
      <c r="F460" s="4" t="str">
        <f>"27"</f>
        <v>27</v>
      </c>
      <c r="G460" s="5">
        <v>75.09</v>
      </c>
      <c r="H460" s="5" t="s">
        <v>14</v>
      </c>
      <c r="I460" s="5">
        <v>72.3</v>
      </c>
      <c r="J460" s="5" t="s">
        <v>14</v>
      </c>
      <c r="K460" s="7">
        <v>73.14</v>
      </c>
      <c r="L460" s="8">
        <v>27</v>
      </c>
      <c r="M460" s="9"/>
    </row>
    <row r="461" s="1" customFormat="1" ht="20.1" customHeight="1" spans="1:13">
      <c r="A461" s="4" t="str">
        <f>"37502022030115591123969"</f>
        <v>37502022030115591123969</v>
      </c>
      <c r="B461" s="4" t="s">
        <v>444</v>
      </c>
      <c r="C461" s="4" t="s">
        <v>471</v>
      </c>
      <c r="D461" s="4" t="str">
        <f>"20220061608"</f>
        <v>20220061608</v>
      </c>
      <c r="E461" s="4" t="str">
        <f t="shared" si="86"/>
        <v>16</v>
      </c>
      <c r="F461" s="4" t="str">
        <f>"08"</f>
        <v>08</v>
      </c>
      <c r="G461" s="5">
        <v>71.65</v>
      </c>
      <c r="H461" s="5" t="s">
        <v>14</v>
      </c>
      <c r="I461" s="5">
        <v>73.4</v>
      </c>
      <c r="J461" s="5" t="s">
        <v>14</v>
      </c>
      <c r="K461" s="7">
        <v>72.88</v>
      </c>
      <c r="L461" s="8">
        <v>28</v>
      </c>
      <c r="M461" s="9"/>
    </row>
    <row r="462" s="1" customFormat="1" ht="20.1" customHeight="1" spans="1:13">
      <c r="A462" s="4" t="str">
        <f>"37502022030110201223374"</f>
        <v>37502022030110201223374</v>
      </c>
      <c r="B462" s="4" t="s">
        <v>444</v>
      </c>
      <c r="C462" s="4" t="s">
        <v>472</v>
      </c>
      <c r="D462" s="4" t="str">
        <f>"20220061615"</f>
        <v>20220061615</v>
      </c>
      <c r="E462" s="4" t="str">
        <f t="shared" si="86"/>
        <v>16</v>
      </c>
      <c r="F462" s="4" t="str">
        <f>"15"</f>
        <v>15</v>
      </c>
      <c r="G462" s="5">
        <v>60</v>
      </c>
      <c r="H462" s="5" t="s">
        <v>14</v>
      </c>
      <c r="I462" s="5">
        <v>77.7</v>
      </c>
      <c r="J462" s="5" t="s">
        <v>14</v>
      </c>
      <c r="K462" s="7">
        <v>72.39</v>
      </c>
      <c r="L462" s="8">
        <v>29</v>
      </c>
      <c r="M462" s="9"/>
    </row>
    <row r="463" s="1" customFormat="1" ht="20.1" customHeight="1" spans="1:13">
      <c r="A463" s="4" t="str">
        <f>"37502022022619570619586"</f>
        <v>37502022022619570619586</v>
      </c>
      <c r="B463" s="4" t="s">
        <v>444</v>
      </c>
      <c r="C463" s="4" t="s">
        <v>473</v>
      </c>
      <c r="D463" s="4" t="str">
        <f>"20220061721"</f>
        <v>20220061721</v>
      </c>
      <c r="E463" s="4" t="str">
        <f>"17"</f>
        <v>17</v>
      </c>
      <c r="F463" s="4" t="str">
        <f>"21"</f>
        <v>21</v>
      </c>
      <c r="G463" s="5">
        <v>77.55</v>
      </c>
      <c r="H463" s="5" t="s">
        <v>14</v>
      </c>
      <c r="I463" s="5">
        <v>69.7</v>
      </c>
      <c r="J463" s="5" t="s">
        <v>14</v>
      </c>
      <c r="K463" s="7">
        <v>72.06</v>
      </c>
      <c r="L463" s="8">
        <v>30</v>
      </c>
      <c r="M463" s="9"/>
    </row>
    <row r="464" s="1" customFormat="1" ht="20.1" customHeight="1" spans="1:13">
      <c r="A464" s="4" t="str">
        <f>"37502022030120332024470"</f>
        <v>37502022030120332024470</v>
      </c>
      <c r="B464" s="4" t="s">
        <v>444</v>
      </c>
      <c r="C464" s="4" t="s">
        <v>474</v>
      </c>
      <c r="D464" s="4" t="str">
        <f>"20220061515"</f>
        <v>20220061515</v>
      </c>
      <c r="E464" s="4" t="str">
        <f>"15"</f>
        <v>15</v>
      </c>
      <c r="F464" s="4" t="str">
        <f>"15"</f>
        <v>15</v>
      </c>
      <c r="G464" s="5">
        <v>72.63</v>
      </c>
      <c r="H464" s="5" t="s">
        <v>14</v>
      </c>
      <c r="I464" s="5">
        <v>71.7</v>
      </c>
      <c r="J464" s="5" t="s">
        <v>14</v>
      </c>
      <c r="K464" s="7">
        <v>71.98</v>
      </c>
      <c r="L464" s="8">
        <v>31</v>
      </c>
      <c r="M464" s="9"/>
    </row>
    <row r="465" s="1" customFormat="1" ht="20.1" customHeight="1" spans="1:13">
      <c r="A465" s="4" t="str">
        <f>"37502022022612000019050"</f>
        <v>37502022022612000019050</v>
      </c>
      <c r="B465" s="4" t="s">
        <v>444</v>
      </c>
      <c r="C465" s="4" t="s">
        <v>475</v>
      </c>
      <c r="D465" s="4" t="str">
        <f>"20220061604"</f>
        <v>20220061604</v>
      </c>
      <c r="E465" s="4" t="str">
        <f t="shared" ref="E465:E471" si="87">"16"</f>
        <v>16</v>
      </c>
      <c r="F465" s="4" t="str">
        <f>"04"</f>
        <v>04</v>
      </c>
      <c r="G465" s="5">
        <v>70.72</v>
      </c>
      <c r="H465" s="5" t="s">
        <v>14</v>
      </c>
      <c r="I465" s="5">
        <v>72.2</v>
      </c>
      <c r="J465" s="5" t="s">
        <v>14</v>
      </c>
      <c r="K465" s="7">
        <v>71.76</v>
      </c>
      <c r="L465" s="8">
        <v>32</v>
      </c>
      <c r="M465" s="9"/>
    </row>
    <row r="466" s="1" customFormat="1" ht="20.1" customHeight="1" spans="1:13">
      <c r="A466" s="4" t="str">
        <f>"37502022022712463020118"</f>
        <v>37502022022712463020118</v>
      </c>
      <c r="B466" s="4" t="s">
        <v>444</v>
      </c>
      <c r="C466" s="4" t="s">
        <v>476</v>
      </c>
      <c r="D466" s="4" t="str">
        <f>"20220061514"</f>
        <v>20220061514</v>
      </c>
      <c r="E466" s="4" t="str">
        <f>"15"</f>
        <v>15</v>
      </c>
      <c r="F466" s="4" t="str">
        <f>"14"</f>
        <v>14</v>
      </c>
      <c r="G466" s="5">
        <v>71.42</v>
      </c>
      <c r="H466" s="5" t="s">
        <v>14</v>
      </c>
      <c r="I466" s="5">
        <v>71.9</v>
      </c>
      <c r="J466" s="5" t="s">
        <v>14</v>
      </c>
      <c r="K466" s="7">
        <v>71.76</v>
      </c>
      <c r="L466" s="8">
        <v>32</v>
      </c>
      <c r="M466" s="9"/>
    </row>
    <row r="467" s="1" customFormat="1" ht="20.1" customHeight="1" spans="1:13">
      <c r="A467" s="4" t="str">
        <f>"37502022022811545721854"</f>
        <v>37502022022811545721854</v>
      </c>
      <c r="B467" s="4" t="s">
        <v>444</v>
      </c>
      <c r="C467" s="4" t="s">
        <v>477</v>
      </c>
      <c r="D467" s="4" t="str">
        <f>"20220061627"</f>
        <v>20220061627</v>
      </c>
      <c r="E467" s="4" t="str">
        <f t="shared" si="87"/>
        <v>16</v>
      </c>
      <c r="F467" s="4" t="str">
        <f>"27"</f>
        <v>27</v>
      </c>
      <c r="G467" s="5">
        <v>74.51</v>
      </c>
      <c r="H467" s="5" t="s">
        <v>14</v>
      </c>
      <c r="I467" s="5">
        <v>70.2</v>
      </c>
      <c r="J467" s="5" t="s">
        <v>14</v>
      </c>
      <c r="K467" s="7">
        <v>71.49</v>
      </c>
      <c r="L467" s="8">
        <v>34</v>
      </c>
      <c r="M467" s="9"/>
    </row>
    <row r="468" s="1" customFormat="1" ht="20.1" customHeight="1" spans="1:13">
      <c r="A468" s="4" t="str">
        <f>"37502022030220201025904"</f>
        <v>37502022030220201025904</v>
      </c>
      <c r="B468" s="4" t="s">
        <v>444</v>
      </c>
      <c r="C468" s="4" t="s">
        <v>478</v>
      </c>
      <c r="D468" s="4" t="str">
        <f>"20220061704"</f>
        <v>20220061704</v>
      </c>
      <c r="E468" s="4" t="str">
        <f t="shared" ref="E468:E474" si="88">"17"</f>
        <v>17</v>
      </c>
      <c r="F468" s="4" t="str">
        <f>"04"</f>
        <v>04</v>
      </c>
      <c r="G468" s="5">
        <v>69.98</v>
      </c>
      <c r="H468" s="5" t="s">
        <v>14</v>
      </c>
      <c r="I468" s="5">
        <v>71.6</v>
      </c>
      <c r="J468" s="5" t="s">
        <v>14</v>
      </c>
      <c r="K468" s="7">
        <v>71.11</v>
      </c>
      <c r="L468" s="8">
        <v>35</v>
      </c>
      <c r="M468" s="9"/>
    </row>
    <row r="469" s="1" customFormat="1" ht="20.1" customHeight="1" spans="1:13">
      <c r="A469" s="4" t="str">
        <f>"37502022022617194119440"</f>
        <v>37502022022617194119440</v>
      </c>
      <c r="B469" s="4" t="s">
        <v>444</v>
      </c>
      <c r="C469" s="4" t="s">
        <v>479</v>
      </c>
      <c r="D469" s="4" t="str">
        <f>"20220061706"</f>
        <v>20220061706</v>
      </c>
      <c r="E469" s="4" t="str">
        <f t="shared" si="88"/>
        <v>17</v>
      </c>
      <c r="F469" s="4" t="str">
        <f>"06"</f>
        <v>06</v>
      </c>
      <c r="G469" s="5">
        <v>66.2</v>
      </c>
      <c r="H469" s="5" t="s">
        <v>14</v>
      </c>
      <c r="I469" s="5">
        <v>73</v>
      </c>
      <c r="J469" s="5" t="s">
        <v>14</v>
      </c>
      <c r="K469" s="7">
        <v>70.96</v>
      </c>
      <c r="L469" s="8">
        <v>36</v>
      </c>
      <c r="M469" s="9"/>
    </row>
    <row r="470" s="1" customFormat="1" ht="20.1" customHeight="1" spans="1:13">
      <c r="A470" s="4" t="str">
        <f>"37502022022817181422780"</f>
        <v>37502022022817181422780</v>
      </c>
      <c r="B470" s="4" t="s">
        <v>444</v>
      </c>
      <c r="C470" s="4" t="s">
        <v>480</v>
      </c>
      <c r="D470" s="4" t="str">
        <f>"20220061601"</f>
        <v>20220061601</v>
      </c>
      <c r="E470" s="4" t="str">
        <f t="shared" si="87"/>
        <v>16</v>
      </c>
      <c r="F470" s="4" t="str">
        <f>"01"</f>
        <v>01</v>
      </c>
      <c r="G470" s="5">
        <v>65.4</v>
      </c>
      <c r="H470" s="5" t="s">
        <v>14</v>
      </c>
      <c r="I470" s="5">
        <v>73.1</v>
      </c>
      <c r="J470" s="5" t="s">
        <v>14</v>
      </c>
      <c r="K470" s="7">
        <v>70.79</v>
      </c>
      <c r="L470" s="8">
        <v>37</v>
      </c>
      <c r="M470" s="9"/>
    </row>
    <row r="471" s="1" customFormat="1" ht="20.1" customHeight="1" spans="1:13">
      <c r="A471" s="4" t="str">
        <f>"37502022030207581924807"</f>
        <v>37502022030207581924807</v>
      </c>
      <c r="B471" s="4" t="s">
        <v>444</v>
      </c>
      <c r="C471" s="4" t="s">
        <v>481</v>
      </c>
      <c r="D471" s="4" t="str">
        <f>"20220061611"</f>
        <v>20220061611</v>
      </c>
      <c r="E471" s="4" t="str">
        <f t="shared" si="87"/>
        <v>16</v>
      </c>
      <c r="F471" s="4" t="str">
        <f>"11"</f>
        <v>11</v>
      </c>
      <c r="G471" s="5">
        <v>71.31</v>
      </c>
      <c r="H471" s="5" t="s">
        <v>14</v>
      </c>
      <c r="I471" s="5">
        <v>70.4</v>
      </c>
      <c r="J471" s="5" t="s">
        <v>14</v>
      </c>
      <c r="K471" s="7">
        <v>70.67</v>
      </c>
      <c r="L471" s="8">
        <v>38</v>
      </c>
      <c r="M471" s="9"/>
    </row>
    <row r="472" s="1" customFormat="1" ht="20.1" customHeight="1" spans="1:13">
      <c r="A472" s="4" t="str">
        <f>"37502022030122334424697"</f>
        <v>37502022030122334424697</v>
      </c>
      <c r="B472" s="4" t="s">
        <v>444</v>
      </c>
      <c r="C472" s="4" t="s">
        <v>482</v>
      </c>
      <c r="D472" s="4" t="str">
        <f>"20220061519"</f>
        <v>20220061519</v>
      </c>
      <c r="E472" s="4" t="str">
        <f>"15"</f>
        <v>15</v>
      </c>
      <c r="F472" s="4" t="str">
        <f>"19"</f>
        <v>19</v>
      </c>
      <c r="G472" s="5">
        <v>61.9</v>
      </c>
      <c r="H472" s="5" t="s">
        <v>14</v>
      </c>
      <c r="I472" s="5">
        <v>74.1</v>
      </c>
      <c r="J472" s="5" t="s">
        <v>14</v>
      </c>
      <c r="K472" s="7">
        <v>70.44</v>
      </c>
      <c r="L472" s="8">
        <v>39</v>
      </c>
      <c r="M472" s="9"/>
    </row>
    <row r="473" s="1" customFormat="1" ht="20.1" customHeight="1" spans="1:13">
      <c r="A473" s="4" t="str">
        <f>"37502022022611371119021"</f>
        <v>37502022022611371119021</v>
      </c>
      <c r="B473" s="4" t="s">
        <v>444</v>
      </c>
      <c r="C473" s="4" t="s">
        <v>483</v>
      </c>
      <c r="D473" s="4" t="str">
        <f>"20220061718"</f>
        <v>20220061718</v>
      </c>
      <c r="E473" s="4" t="str">
        <f t="shared" si="88"/>
        <v>17</v>
      </c>
      <c r="F473" s="4" t="str">
        <f>"18"</f>
        <v>18</v>
      </c>
      <c r="G473" s="5">
        <v>67.94</v>
      </c>
      <c r="H473" s="5" t="s">
        <v>14</v>
      </c>
      <c r="I473" s="5">
        <v>71.5</v>
      </c>
      <c r="J473" s="5" t="s">
        <v>14</v>
      </c>
      <c r="K473" s="7">
        <v>70.43</v>
      </c>
      <c r="L473" s="8">
        <v>40</v>
      </c>
      <c r="M473" s="9"/>
    </row>
    <row r="474" s="1" customFormat="1" ht="20.1" customHeight="1" spans="1:13">
      <c r="A474" s="4" t="str">
        <f>"37502022030113485523778"</f>
        <v>37502022030113485523778</v>
      </c>
      <c r="B474" s="4" t="s">
        <v>444</v>
      </c>
      <c r="C474" s="4" t="s">
        <v>484</v>
      </c>
      <c r="D474" s="4" t="str">
        <f>"20220061711"</f>
        <v>20220061711</v>
      </c>
      <c r="E474" s="4" t="str">
        <f t="shared" si="88"/>
        <v>17</v>
      </c>
      <c r="F474" s="4" t="str">
        <f>"11"</f>
        <v>11</v>
      </c>
      <c r="G474" s="5">
        <v>65.74</v>
      </c>
      <c r="H474" s="5" t="s">
        <v>14</v>
      </c>
      <c r="I474" s="5">
        <v>71.9</v>
      </c>
      <c r="J474" s="5" t="s">
        <v>14</v>
      </c>
      <c r="K474" s="7">
        <v>70.05</v>
      </c>
      <c r="L474" s="8">
        <v>41</v>
      </c>
      <c r="M474" s="9"/>
    </row>
    <row r="475" s="1" customFormat="1" ht="20.1" customHeight="1" spans="1:13">
      <c r="A475" s="4" t="str">
        <f>"37502022030206575824789"</f>
        <v>37502022030206575824789</v>
      </c>
      <c r="B475" s="4" t="s">
        <v>444</v>
      </c>
      <c r="C475" s="4" t="s">
        <v>485</v>
      </c>
      <c r="D475" s="4" t="str">
        <f>"20220061518"</f>
        <v>20220061518</v>
      </c>
      <c r="E475" s="4" t="str">
        <f>"15"</f>
        <v>15</v>
      </c>
      <c r="F475" s="4" t="str">
        <f>"18"</f>
        <v>18</v>
      </c>
      <c r="G475" s="5">
        <v>62.92</v>
      </c>
      <c r="H475" s="5" t="s">
        <v>14</v>
      </c>
      <c r="I475" s="5">
        <v>73.1</v>
      </c>
      <c r="J475" s="5" t="s">
        <v>14</v>
      </c>
      <c r="K475" s="7">
        <v>70.05</v>
      </c>
      <c r="L475" s="8">
        <v>41</v>
      </c>
      <c r="M475" s="9"/>
    </row>
    <row r="476" s="1" customFormat="1" ht="20.1" customHeight="1" spans="1:13">
      <c r="A476" s="4" t="str">
        <f>"37502022022810105421566"</f>
        <v>37502022022810105421566</v>
      </c>
      <c r="B476" s="4" t="s">
        <v>444</v>
      </c>
      <c r="C476" s="4" t="s">
        <v>486</v>
      </c>
      <c r="D476" s="4" t="str">
        <f>"20220061603"</f>
        <v>20220061603</v>
      </c>
      <c r="E476" s="4" t="str">
        <f t="shared" ref="E476:E479" si="89">"16"</f>
        <v>16</v>
      </c>
      <c r="F476" s="4" t="str">
        <f>"03"</f>
        <v>03</v>
      </c>
      <c r="G476" s="5">
        <v>67.27</v>
      </c>
      <c r="H476" s="5" t="s">
        <v>14</v>
      </c>
      <c r="I476" s="5">
        <v>71.2</v>
      </c>
      <c r="J476" s="5" t="s">
        <v>14</v>
      </c>
      <c r="K476" s="7">
        <v>70.02</v>
      </c>
      <c r="L476" s="8">
        <v>43</v>
      </c>
      <c r="M476" s="9"/>
    </row>
    <row r="477" s="1" customFormat="1" ht="20.1" customHeight="1" spans="1:13">
      <c r="A477" s="4" t="str">
        <f>"37502022030110123823352"</f>
        <v>37502022030110123823352</v>
      </c>
      <c r="B477" s="4" t="s">
        <v>444</v>
      </c>
      <c r="C477" s="4" t="s">
        <v>487</v>
      </c>
      <c r="D477" s="4" t="str">
        <f>"20220061720"</f>
        <v>20220061720</v>
      </c>
      <c r="E477" s="4" t="str">
        <f>"17"</f>
        <v>17</v>
      </c>
      <c r="F477" s="4" t="str">
        <f>"20"</f>
        <v>20</v>
      </c>
      <c r="G477" s="5">
        <v>71.88</v>
      </c>
      <c r="H477" s="5" t="s">
        <v>14</v>
      </c>
      <c r="I477" s="5">
        <v>68.9</v>
      </c>
      <c r="J477" s="5" t="s">
        <v>14</v>
      </c>
      <c r="K477" s="7">
        <v>69.79</v>
      </c>
      <c r="L477" s="8">
        <v>44</v>
      </c>
      <c r="M477" s="9"/>
    </row>
    <row r="478" s="1" customFormat="1" ht="20.1" customHeight="1" spans="1:13">
      <c r="A478" s="4" t="str">
        <f>"37502022022609414918770"</f>
        <v>37502022022609414918770</v>
      </c>
      <c r="B478" s="4" t="s">
        <v>444</v>
      </c>
      <c r="C478" s="4" t="s">
        <v>488</v>
      </c>
      <c r="D478" s="4" t="str">
        <f>"20220061607"</f>
        <v>20220061607</v>
      </c>
      <c r="E478" s="4" t="str">
        <f t="shared" si="89"/>
        <v>16</v>
      </c>
      <c r="F478" s="4" t="str">
        <f>"07"</f>
        <v>07</v>
      </c>
      <c r="G478" s="5">
        <v>65.94</v>
      </c>
      <c r="H478" s="5" t="s">
        <v>14</v>
      </c>
      <c r="I478" s="5">
        <v>71.2</v>
      </c>
      <c r="J478" s="5" t="s">
        <v>14</v>
      </c>
      <c r="K478" s="7">
        <v>69.62</v>
      </c>
      <c r="L478" s="8">
        <v>45</v>
      </c>
      <c r="M478" s="9"/>
    </row>
    <row r="479" s="1" customFormat="1" ht="20.1" customHeight="1" spans="1:13">
      <c r="A479" s="4" t="str">
        <f>"37502022030220182025896"</f>
        <v>37502022030220182025896</v>
      </c>
      <c r="B479" s="4" t="s">
        <v>444</v>
      </c>
      <c r="C479" s="4" t="s">
        <v>489</v>
      </c>
      <c r="D479" s="4" t="str">
        <f>"20220061619"</f>
        <v>20220061619</v>
      </c>
      <c r="E479" s="4" t="str">
        <f t="shared" si="89"/>
        <v>16</v>
      </c>
      <c r="F479" s="4" t="str">
        <f>"19"</f>
        <v>19</v>
      </c>
      <c r="G479" s="5">
        <v>71.46</v>
      </c>
      <c r="H479" s="5" t="s">
        <v>14</v>
      </c>
      <c r="I479" s="5">
        <v>67.7</v>
      </c>
      <c r="J479" s="5" t="s">
        <v>14</v>
      </c>
      <c r="K479" s="7">
        <v>68.83</v>
      </c>
      <c r="L479" s="8">
        <v>46</v>
      </c>
      <c r="M479" s="9"/>
    </row>
    <row r="480" s="1" customFormat="1" ht="20.1" customHeight="1" spans="1:13">
      <c r="A480" s="4" t="str">
        <f>"37502022022623463219829"</f>
        <v>37502022022623463219829</v>
      </c>
      <c r="B480" s="4" t="s">
        <v>444</v>
      </c>
      <c r="C480" s="4" t="s">
        <v>490</v>
      </c>
      <c r="D480" s="4" t="str">
        <f>"20220061801"</f>
        <v>20220061801</v>
      </c>
      <c r="E480" s="4" t="str">
        <f>"18"</f>
        <v>18</v>
      </c>
      <c r="F480" s="4" t="str">
        <f>"01"</f>
        <v>01</v>
      </c>
      <c r="G480" s="5">
        <v>70.51</v>
      </c>
      <c r="H480" s="5" t="s">
        <v>14</v>
      </c>
      <c r="I480" s="5">
        <v>67.7</v>
      </c>
      <c r="J480" s="5" t="s">
        <v>14</v>
      </c>
      <c r="K480" s="7">
        <v>68.54</v>
      </c>
      <c r="L480" s="8">
        <v>47</v>
      </c>
      <c r="M480" s="9"/>
    </row>
    <row r="481" s="1" customFormat="1" ht="20.1" customHeight="1" spans="1:13">
      <c r="A481" s="4" t="str">
        <f>"37502022030116590724088"</f>
        <v>37502022030116590724088</v>
      </c>
      <c r="B481" s="4" t="s">
        <v>444</v>
      </c>
      <c r="C481" s="4" t="s">
        <v>491</v>
      </c>
      <c r="D481" s="4" t="str">
        <f>"20220061513"</f>
        <v>20220061513</v>
      </c>
      <c r="E481" s="4" t="str">
        <f t="shared" ref="E481:E483" si="90">"15"</f>
        <v>15</v>
      </c>
      <c r="F481" s="4" t="str">
        <f>"13"</f>
        <v>13</v>
      </c>
      <c r="G481" s="5">
        <v>66.02</v>
      </c>
      <c r="H481" s="5" t="s">
        <v>14</v>
      </c>
      <c r="I481" s="5">
        <v>68.6</v>
      </c>
      <c r="J481" s="5" t="s">
        <v>14</v>
      </c>
      <c r="K481" s="7">
        <v>67.83</v>
      </c>
      <c r="L481" s="8">
        <v>48</v>
      </c>
      <c r="M481" s="9"/>
    </row>
    <row r="482" s="1" customFormat="1" ht="20.1" customHeight="1" spans="1:13">
      <c r="A482" s="4" t="str">
        <f>"37502022022612053619056"</f>
        <v>37502022022612053619056</v>
      </c>
      <c r="B482" s="4" t="s">
        <v>444</v>
      </c>
      <c r="C482" s="4" t="s">
        <v>492</v>
      </c>
      <c r="D482" s="4" t="str">
        <f>"20220061527"</f>
        <v>20220061527</v>
      </c>
      <c r="E482" s="4" t="str">
        <f t="shared" si="90"/>
        <v>15</v>
      </c>
      <c r="F482" s="4" t="str">
        <f>"27"</f>
        <v>27</v>
      </c>
      <c r="G482" s="5">
        <v>69.12</v>
      </c>
      <c r="H482" s="5" t="s">
        <v>14</v>
      </c>
      <c r="I482" s="5">
        <v>66.6</v>
      </c>
      <c r="J482" s="5" t="s">
        <v>14</v>
      </c>
      <c r="K482" s="7">
        <v>67.36</v>
      </c>
      <c r="L482" s="8">
        <v>49</v>
      </c>
      <c r="M482" s="9"/>
    </row>
    <row r="483" s="1" customFormat="1" ht="20.1" customHeight="1" spans="1:13">
      <c r="A483" s="4" t="str">
        <f>"37502022022720385720833"</f>
        <v>37502022022720385720833</v>
      </c>
      <c r="B483" s="4" t="s">
        <v>444</v>
      </c>
      <c r="C483" s="4" t="s">
        <v>493</v>
      </c>
      <c r="D483" s="4" t="str">
        <f>"20220061523"</f>
        <v>20220061523</v>
      </c>
      <c r="E483" s="4" t="str">
        <f t="shared" si="90"/>
        <v>15</v>
      </c>
      <c r="F483" s="4" t="str">
        <f>"23"</f>
        <v>23</v>
      </c>
      <c r="G483" s="5">
        <v>66.21</v>
      </c>
      <c r="H483" s="5" t="s">
        <v>14</v>
      </c>
      <c r="I483" s="5">
        <v>66.7</v>
      </c>
      <c r="J483" s="5" t="s">
        <v>14</v>
      </c>
      <c r="K483" s="7">
        <v>66.55</v>
      </c>
      <c r="L483" s="8">
        <v>50</v>
      </c>
      <c r="M483" s="9"/>
    </row>
    <row r="484" s="1" customFormat="1" ht="20.1" customHeight="1" spans="1:13">
      <c r="A484" s="4" t="str">
        <f>"37502022022615553419342"</f>
        <v>37502022022615553419342</v>
      </c>
      <c r="B484" s="4" t="s">
        <v>444</v>
      </c>
      <c r="C484" s="4" t="s">
        <v>494</v>
      </c>
      <c r="D484" s="4" t="str">
        <f>"20220061620"</f>
        <v>20220061620</v>
      </c>
      <c r="E484" s="4" t="str">
        <f>"16"</f>
        <v>16</v>
      </c>
      <c r="F484" s="4" t="str">
        <f>"20"</f>
        <v>20</v>
      </c>
      <c r="G484" s="5">
        <v>69.5</v>
      </c>
      <c r="H484" s="5" t="s">
        <v>14</v>
      </c>
      <c r="I484" s="5">
        <v>64.6</v>
      </c>
      <c r="J484" s="5" t="s">
        <v>14</v>
      </c>
      <c r="K484" s="7">
        <v>66.07</v>
      </c>
      <c r="L484" s="8">
        <v>51</v>
      </c>
      <c r="M484" s="9"/>
    </row>
    <row r="485" s="1" customFormat="1" ht="20.1" customHeight="1" spans="1:13">
      <c r="A485" s="4" t="str">
        <f>"37502022022612220319078"</f>
        <v>37502022022612220319078</v>
      </c>
      <c r="B485" s="4" t="s">
        <v>444</v>
      </c>
      <c r="C485" s="4" t="s">
        <v>495</v>
      </c>
      <c r="D485" s="4" t="str">
        <f>"20220061524"</f>
        <v>20220061524</v>
      </c>
      <c r="E485" s="4" t="str">
        <f>"15"</f>
        <v>15</v>
      </c>
      <c r="F485" s="4" t="str">
        <f>"24"</f>
        <v>24</v>
      </c>
      <c r="G485" s="5">
        <v>61.41</v>
      </c>
      <c r="H485" s="5" t="s">
        <v>14</v>
      </c>
      <c r="I485" s="5">
        <v>66.5</v>
      </c>
      <c r="J485" s="5" t="s">
        <v>14</v>
      </c>
      <c r="K485" s="7">
        <v>64.97</v>
      </c>
      <c r="L485" s="8">
        <v>52</v>
      </c>
      <c r="M485" s="9"/>
    </row>
    <row r="486" s="1" customFormat="1" ht="20.1" customHeight="1" spans="1:13">
      <c r="A486" s="4" t="str">
        <f>"37502022030211373125140"</f>
        <v>37502022030211373125140</v>
      </c>
      <c r="B486" s="4" t="s">
        <v>444</v>
      </c>
      <c r="C486" s="4" t="s">
        <v>496</v>
      </c>
      <c r="D486" s="4" t="str">
        <f>"20220061724"</f>
        <v>20220061724</v>
      </c>
      <c r="E486" s="4" t="str">
        <f t="shared" ref="E486:E489" si="91">"17"</f>
        <v>17</v>
      </c>
      <c r="F486" s="4" t="str">
        <f>"24"</f>
        <v>24</v>
      </c>
      <c r="G486" s="5">
        <v>55.17</v>
      </c>
      <c r="H486" s="5" t="s">
        <v>14</v>
      </c>
      <c r="I486" s="5">
        <v>68</v>
      </c>
      <c r="J486" s="5" t="s">
        <v>14</v>
      </c>
      <c r="K486" s="7">
        <v>64.15</v>
      </c>
      <c r="L486" s="8">
        <v>53</v>
      </c>
      <c r="M486" s="9"/>
    </row>
    <row r="487" s="1" customFormat="1" ht="20.1" customHeight="1" spans="1:13">
      <c r="A487" s="4" t="str">
        <f>"37502022022819304422895"</f>
        <v>37502022022819304422895</v>
      </c>
      <c r="B487" s="4" t="s">
        <v>444</v>
      </c>
      <c r="C487" s="4" t="s">
        <v>497</v>
      </c>
      <c r="D487" s="4" t="str">
        <f>"20220061609"</f>
        <v>20220061609</v>
      </c>
      <c r="E487" s="4" t="str">
        <f t="shared" ref="E487:E492" si="92">"16"</f>
        <v>16</v>
      </c>
      <c r="F487" s="4" t="str">
        <f>"09"</f>
        <v>09</v>
      </c>
      <c r="G487" s="5">
        <v>68.8</v>
      </c>
      <c r="H487" s="5" t="s">
        <v>14</v>
      </c>
      <c r="I487" s="5">
        <v>61.8</v>
      </c>
      <c r="J487" s="5" t="s">
        <v>14</v>
      </c>
      <c r="K487" s="7">
        <v>63.9</v>
      </c>
      <c r="L487" s="8">
        <v>54</v>
      </c>
      <c r="M487" s="9"/>
    </row>
    <row r="488" s="1" customFormat="1" ht="20.1" customHeight="1" spans="1:13">
      <c r="A488" s="4" t="str">
        <f>"37502022030216541625581"</f>
        <v>37502022030216541625581</v>
      </c>
      <c r="B488" s="4" t="s">
        <v>444</v>
      </c>
      <c r="C488" s="4" t="s">
        <v>498</v>
      </c>
      <c r="D488" s="4" t="str">
        <f>"20220061714"</f>
        <v>20220061714</v>
      </c>
      <c r="E488" s="4" t="str">
        <f t="shared" si="91"/>
        <v>17</v>
      </c>
      <c r="F488" s="4" t="str">
        <f>"14"</f>
        <v>14</v>
      </c>
      <c r="G488" s="5">
        <v>68.11</v>
      </c>
      <c r="H488" s="5" t="s">
        <v>14</v>
      </c>
      <c r="I488" s="5">
        <v>61.4</v>
      </c>
      <c r="J488" s="5" t="s">
        <v>14</v>
      </c>
      <c r="K488" s="7">
        <v>63.41</v>
      </c>
      <c r="L488" s="8">
        <v>55</v>
      </c>
      <c r="M488" s="9"/>
    </row>
    <row r="489" s="1" customFormat="1" ht="20.1" customHeight="1" spans="1:13">
      <c r="A489" s="4" t="str">
        <f>"37502022022609520318800"</f>
        <v>37502022022609520318800</v>
      </c>
      <c r="B489" s="4" t="s">
        <v>444</v>
      </c>
      <c r="C489" s="4" t="s">
        <v>499</v>
      </c>
      <c r="D489" s="4" t="str">
        <f>"20220061712"</f>
        <v>20220061712</v>
      </c>
      <c r="E489" s="4" t="str">
        <f t="shared" si="91"/>
        <v>17</v>
      </c>
      <c r="F489" s="4" t="str">
        <f>"12"</f>
        <v>12</v>
      </c>
      <c r="G489" s="5">
        <v>65.92</v>
      </c>
      <c r="H489" s="5" t="s">
        <v>14</v>
      </c>
      <c r="I489" s="5">
        <v>57.6</v>
      </c>
      <c r="J489" s="5" t="s">
        <v>14</v>
      </c>
      <c r="K489" s="7">
        <v>60.1</v>
      </c>
      <c r="L489" s="8">
        <v>56</v>
      </c>
      <c r="M489" s="9"/>
    </row>
    <row r="490" s="1" customFormat="1" ht="20.1" customHeight="1" spans="1:13">
      <c r="A490" s="4" t="str">
        <f>"37502022022818045922824"</f>
        <v>37502022022818045922824</v>
      </c>
      <c r="B490" s="4" t="s">
        <v>444</v>
      </c>
      <c r="C490" s="4" t="s">
        <v>109</v>
      </c>
      <c r="D490" s="4" t="str">
        <f>"20220061621"</f>
        <v>20220061621</v>
      </c>
      <c r="E490" s="4" t="str">
        <f t="shared" si="92"/>
        <v>16</v>
      </c>
      <c r="F490" s="4" t="str">
        <f>"21"</f>
        <v>21</v>
      </c>
      <c r="G490" s="5">
        <v>50.22</v>
      </c>
      <c r="H490" s="5" t="s">
        <v>14</v>
      </c>
      <c r="I490" s="5">
        <v>60.9</v>
      </c>
      <c r="J490" s="5" t="s">
        <v>14</v>
      </c>
      <c r="K490" s="7">
        <v>57.7</v>
      </c>
      <c r="L490" s="8">
        <v>57</v>
      </c>
      <c r="M490" s="9"/>
    </row>
    <row r="491" s="1" customFormat="1" ht="20.1" customHeight="1" spans="1:13">
      <c r="A491" s="4" t="str">
        <f>"37502022022609145318691"</f>
        <v>37502022022609145318691</v>
      </c>
      <c r="B491" s="4" t="s">
        <v>444</v>
      </c>
      <c r="C491" s="4" t="s">
        <v>500</v>
      </c>
      <c r="D491" s="4" t="str">
        <f>"20220061728"</f>
        <v>20220061728</v>
      </c>
      <c r="E491" s="4" t="str">
        <f t="shared" ref="E491:E495" si="93">"17"</f>
        <v>17</v>
      </c>
      <c r="F491" s="4" t="str">
        <f>"28"</f>
        <v>28</v>
      </c>
      <c r="G491" s="5">
        <v>0</v>
      </c>
      <c r="H491" s="5" t="s">
        <v>74</v>
      </c>
      <c r="I491" s="5">
        <v>0</v>
      </c>
      <c r="J491" s="5" t="s">
        <v>74</v>
      </c>
      <c r="K491" s="7">
        <v>0</v>
      </c>
      <c r="L491" s="8">
        <v>58</v>
      </c>
      <c r="M491" s="9"/>
    </row>
    <row r="492" s="1" customFormat="1" ht="20.1" customHeight="1" spans="1:13">
      <c r="A492" s="4" t="str">
        <f>"37502022022609391118750"</f>
        <v>37502022022609391118750</v>
      </c>
      <c r="B492" s="4" t="s">
        <v>444</v>
      </c>
      <c r="C492" s="4" t="s">
        <v>501</v>
      </c>
      <c r="D492" s="4" t="str">
        <f>"20220061614"</f>
        <v>20220061614</v>
      </c>
      <c r="E492" s="4" t="str">
        <f t="shared" si="92"/>
        <v>16</v>
      </c>
      <c r="F492" s="4" t="str">
        <f>"14"</f>
        <v>14</v>
      </c>
      <c r="G492" s="5">
        <v>0</v>
      </c>
      <c r="H492" s="5" t="s">
        <v>74</v>
      </c>
      <c r="I492" s="5">
        <v>0</v>
      </c>
      <c r="J492" s="5" t="s">
        <v>74</v>
      </c>
      <c r="K492" s="7">
        <v>0</v>
      </c>
      <c r="L492" s="8">
        <v>58</v>
      </c>
      <c r="M492" s="9"/>
    </row>
    <row r="493" s="1" customFormat="1" ht="20.1" customHeight="1" spans="1:13">
      <c r="A493" s="4" t="str">
        <f>"37502022022611502019039"</f>
        <v>37502022022611502019039</v>
      </c>
      <c r="B493" s="4" t="s">
        <v>444</v>
      </c>
      <c r="C493" s="4" t="s">
        <v>502</v>
      </c>
      <c r="D493" s="4" t="str">
        <f>"20220061723"</f>
        <v>20220061723</v>
      </c>
      <c r="E493" s="4" t="str">
        <f t="shared" si="93"/>
        <v>17</v>
      </c>
      <c r="F493" s="4" t="str">
        <f>"23"</f>
        <v>23</v>
      </c>
      <c r="G493" s="5">
        <v>0</v>
      </c>
      <c r="H493" s="5" t="s">
        <v>74</v>
      </c>
      <c r="I493" s="5">
        <v>0</v>
      </c>
      <c r="J493" s="5" t="s">
        <v>74</v>
      </c>
      <c r="K493" s="7">
        <v>0</v>
      </c>
      <c r="L493" s="8">
        <v>58</v>
      </c>
      <c r="M493" s="9"/>
    </row>
    <row r="494" s="1" customFormat="1" ht="20.1" customHeight="1" spans="1:13">
      <c r="A494" s="4" t="str">
        <f>"37502022022614042819201"</f>
        <v>37502022022614042819201</v>
      </c>
      <c r="B494" s="4" t="s">
        <v>444</v>
      </c>
      <c r="C494" s="4" t="s">
        <v>503</v>
      </c>
      <c r="D494" s="4" t="str">
        <f>"20220061610"</f>
        <v>20220061610</v>
      </c>
      <c r="E494" s="4" t="str">
        <f>"16"</f>
        <v>16</v>
      </c>
      <c r="F494" s="4" t="str">
        <f>"10"</f>
        <v>10</v>
      </c>
      <c r="G494" s="5">
        <v>0</v>
      </c>
      <c r="H494" s="5" t="s">
        <v>74</v>
      </c>
      <c r="I494" s="5">
        <v>0</v>
      </c>
      <c r="J494" s="5" t="s">
        <v>74</v>
      </c>
      <c r="K494" s="7">
        <v>0</v>
      </c>
      <c r="L494" s="8">
        <v>58</v>
      </c>
      <c r="M494" s="9"/>
    </row>
    <row r="495" s="1" customFormat="1" ht="20.1" customHeight="1" spans="1:13">
      <c r="A495" s="4" t="str">
        <f>"37502022022713064920139"</f>
        <v>37502022022713064920139</v>
      </c>
      <c r="B495" s="4" t="s">
        <v>444</v>
      </c>
      <c r="C495" s="4" t="s">
        <v>504</v>
      </c>
      <c r="D495" s="4" t="str">
        <f>"20220061702"</f>
        <v>20220061702</v>
      </c>
      <c r="E495" s="4" t="str">
        <f t="shared" si="93"/>
        <v>17</v>
      </c>
      <c r="F495" s="4" t="str">
        <f>"02"</f>
        <v>02</v>
      </c>
      <c r="G495" s="5">
        <v>0</v>
      </c>
      <c r="H495" s="5" t="s">
        <v>74</v>
      </c>
      <c r="I495" s="5">
        <v>0</v>
      </c>
      <c r="J495" s="5" t="s">
        <v>74</v>
      </c>
      <c r="K495" s="7">
        <v>0</v>
      </c>
      <c r="L495" s="8">
        <v>58</v>
      </c>
      <c r="M495" s="9"/>
    </row>
    <row r="496" s="1" customFormat="1" ht="20.1" customHeight="1" spans="1:13">
      <c r="A496" s="4" t="str">
        <f>"37502022022721142220899"</f>
        <v>37502022022721142220899</v>
      </c>
      <c r="B496" s="4" t="s">
        <v>444</v>
      </c>
      <c r="C496" s="4" t="s">
        <v>505</v>
      </c>
      <c r="D496" s="4" t="str">
        <f>"20220061616"</f>
        <v>20220061616</v>
      </c>
      <c r="E496" s="4" t="str">
        <f>"16"</f>
        <v>16</v>
      </c>
      <c r="F496" s="4" t="str">
        <f>"16"</f>
        <v>16</v>
      </c>
      <c r="G496" s="5">
        <v>0</v>
      </c>
      <c r="H496" s="5" t="s">
        <v>74</v>
      </c>
      <c r="I496" s="5">
        <v>0</v>
      </c>
      <c r="J496" s="5" t="s">
        <v>74</v>
      </c>
      <c r="K496" s="7">
        <v>0</v>
      </c>
      <c r="L496" s="8">
        <v>58</v>
      </c>
      <c r="M496" s="9"/>
    </row>
    <row r="497" s="1" customFormat="1" ht="20.1" customHeight="1" spans="1:13">
      <c r="A497" s="4" t="str">
        <f>"37502022022722463621109"</f>
        <v>37502022022722463621109</v>
      </c>
      <c r="B497" s="4" t="s">
        <v>444</v>
      </c>
      <c r="C497" s="4" t="s">
        <v>506</v>
      </c>
      <c r="D497" s="4" t="str">
        <f>"20220061528"</f>
        <v>20220061528</v>
      </c>
      <c r="E497" s="4" t="str">
        <f t="shared" ref="E497:E500" si="94">"15"</f>
        <v>15</v>
      </c>
      <c r="F497" s="4" t="str">
        <f>"28"</f>
        <v>28</v>
      </c>
      <c r="G497" s="5">
        <v>0</v>
      </c>
      <c r="H497" s="5" t="s">
        <v>74</v>
      </c>
      <c r="I497" s="5">
        <v>0</v>
      </c>
      <c r="J497" s="5" t="s">
        <v>74</v>
      </c>
      <c r="K497" s="7">
        <v>0</v>
      </c>
      <c r="L497" s="8">
        <v>58</v>
      </c>
      <c r="M497" s="9"/>
    </row>
    <row r="498" s="1" customFormat="1" ht="20.1" customHeight="1" spans="1:13">
      <c r="A498" s="4" t="str">
        <f>"37502022022810511421689"</f>
        <v>37502022022810511421689</v>
      </c>
      <c r="B498" s="4" t="s">
        <v>444</v>
      </c>
      <c r="C498" s="4" t="s">
        <v>507</v>
      </c>
      <c r="D498" s="4" t="str">
        <f>"20220061525"</f>
        <v>20220061525</v>
      </c>
      <c r="E498" s="4" t="str">
        <f t="shared" si="94"/>
        <v>15</v>
      </c>
      <c r="F498" s="4" t="str">
        <f>"25"</f>
        <v>25</v>
      </c>
      <c r="G498" s="5">
        <v>0</v>
      </c>
      <c r="H498" s="5" t="s">
        <v>74</v>
      </c>
      <c r="I498" s="5">
        <v>0</v>
      </c>
      <c r="J498" s="5" t="s">
        <v>74</v>
      </c>
      <c r="K498" s="7">
        <v>0</v>
      </c>
      <c r="L498" s="8">
        <v>58</v>
      </c>
      <c r="M498" s="9"/>
    </row>
    <row r="499" s="1" customFormat="1" ht="20.1" customHeight="1" spans="1:13">
      <c r="A499" s="4" t="str">
        <f>"37502022022816475722738"</f>
        <v>37502022022816475722738</v>
      </c>
      <c r="B499" s="4" t="s">
        <v>444</v>
      </c>
      <c r="C499" s="4" t="s">
        <v>508</v>
      </c>
      <c r="D499" s="4" t="str">
        <f>"20220061530"</f>
        <v>20220061530</v>
      </c>
      <c r="E499" s="4" t="str">
        <f t="shared" si="94"/>
        <v>15</v>
      </c>
      <c r="F499" s="4" t="str">
        <f>"30"</f>
        <v>30</v>
      </c>
      <c r="G499" s="5">
        <v>0</v>
      </c>
      <c r="H499" s="5" t="s">
        <v>74</v>
      </c>
      <c r="I499" s="5">
        <v>0</v>
      </c>
      <c r="J499" s="5" t="s">
        <v>74</v>
      </c>
      <c r="K499" s="7">
        <v>0</v>
      </c>
      <c r="L499" s="8">
        <v>58</v>
      </c>
      <c r="M499" s="9"/>
    </row>
    <row r="500" s="1" customFormat="1" ht="20.1" customHeight="1" spans="1:13">
      <c r="A500" s="4" t="str">
        <f>"37502022022817374022802"</f>
        <v>37502022022817374022802</v>
      </c>
      <c r="B500" s="4" t="s">
        <v>444</v>
      </c>
      <c r="C500" s="4" t="s">
        <v>509</v>
      </c>
      <c r="D500" s="4" t="str">
        <f>"20220061521"</f>
        <v>20220061521</v>
      </c>
      <c r="E500" s="4" t="str">
        <f t="shared" si="94"/>
        <v>15</v>
      </c>
      <c r="F500" s="4" t="str">
        <f>"21"</f>
        <v>21</v>
      </c>
      <c r="G500" s="5">
        <v>0</v>
      </c>
      <c r="H500" s="5" t="s">
        <v>74</v>
      </c>
      <c r="I500" s="5">
        <v>0</v>
      </c>
      <c r="J500" s="5" t="s">
        <v>74</v>
      </c>
      <c r="K500" s="7">
        <v>0</v>
      </c>
      <c r="L500" s="8">
        <v>58</v>
      </c>
      <c r="M500" s="9"/>
    </row>
    <row r="501" s="1" customFormat="1" ht="20.1" customHeight="1" spans="1:13">
      <c r="A501" s="4" t="str">
        <f>"37502022022818270822841"</f>
        <v>37502022022818270822841</v>
      </c>
      <c r="B501" s="4" t="s">
        <v>444</v>
      </c>
      <c r="C501" s="4" t="s">
        <v>510</v>
      </c>
      <c r="D501" s="4" t="str">
        <f>"20220061705"</f>
        <v>20220061705</v>
      </c>
      <c r="E501" s="4" t="str">
        <f t="shared" ref="E501:E505" si="95">"17"</f>
        <v>17</v>
      </c>
      <c r="F501" s="4" t="str">
        <f>"05"</f>
        <v>05</v>
      </c>
      <c r="G501" s="5">
        <v>0</v>
      </c>
      <c r="H501" s="5" t="s">
        <v>74</v>
      </c>
      <c r="I501" s="5">
        <v>0</v>
      </c>
      <c r="J501" s="5" t="s">
        <v>74</v>
      </c>
      <c r="K501" s="7">
        <v>0</v>
      </c>
      <c r="L501" s="8">
        <v>58</v>
      </c>
      <c r="M501" s="9"/>
    </row>
    <row r="502" s="1" customFormat="1" ht="20.1" customHeight="1" spans="1:13">
      <c r="A502" s="4" t="str">
        <f>"37502022030113205023745"</f>
        <v>37502022030113205023745</v>
      </c>
      <c r="B502" s="4" t="s">
        <v>444</v>
      </c>
      <c r="C502" s="4" t="s">
        <v>511</v>
      </c>
      <c r="D502" s="4" t="str">
        <f>"20220061512"</f>
        <v>20220061512</v>
      </c>
      <c r="E502" s="4" t="str">
        <f>"15"</f>
        <v>15</v>
      </c>
      <c r="F502" s="4" t="str">
        <f>"12"</f>
        <v>12</v>
      </c>
      <c r="G502" s="5">
        <v>0</v>
      </c>
      <c r="H502" s="5" t="s">
        <v>74</v>
      </c>
      <c r="I502" s="5">
        <v>0</v>
      </c>
      <c r="J502" s="5" t="s">
        <v>74</v>
      </c>
      <c r="K502" s="7">
        <v>0</v>
      </c>
      <c r="L502" s="8">
        <v>58</v>
      </c>
      <c r="M502" s="9"/>
    </row>
    <row r="503" s="1" customFormat="1" ht="20.1" customHeight="1" spans="1:13">
      <c r="A503" s="4" t="str">
        <f>"37502022030114585023868"</f>
        <v>37502022030114585023868</v>
      </c>
      <c r="B503" s="4" t="s">
        <v>444</v>
      </c>
      <c r="C503" s="4" t="s">
        <v>512</v>
      </c>
      <c r="D503" s="4" t="str">
        <f>"20220061701"</f>
        <v>20220061701</v>
      </c>
      <c r="E503" s="4" t="str">
        <f t="shared" si="95"/>
        <v>17</v>
      </c>
      <c r="F503" s="4" t="str">
        <f>"01"</f>
        <v>01</v>
      </c>
      <c r="G503" s="5">
        <v>0</v>
      </c>
      <c r="H503" s="5" t="s">
        <v>74</v>
      </c>
      <c r="I503" s="5">
        <v>0</v>
      </c>
      <c r="J503" s="5" t="s">
        <v>74</v>
      </c>
      <c r="K503" s="7">
        <v>0</v>
      </c>
      <c r="L503" s="8">
        <v>58</v>
      </c>
      <c r="M503" s="9"/>
    </row>
    <row r="504" s="1" customFormat="1" ht="20.1" customHeight="1" spans="1:13">
      <c r="A504" s="4" t="str">
        <f>"37502022030115175723901"</f>
        <v>37502022030115175723901</v>
      </c>
      <c r="B504" s="4" t="s">
        <v>444</v>
      </c>
      <c r="C504" s="4" t="s">
        <v>513</v>
      </c>
      <c r="D504" s="4" t="str">
        <f>"20220061623"</f>
        <v>20220061623</v>
      </c>
      <c r="E504" s="4" t="str">
        <f>"16"</f>
        <v>16</v>
      </c>
      <c r="F504" s="4" t="str">
        <f>"23"</f>
        <v>23</v>
      </c>
      <c r="G504" s="5">
        <v>0</v>
      </c>
      <c r="H504" s="5" t="s">
        <v>74</v>
      </c>
      <c r="I504" s="5">
        <v>0</v>
      </c>
      <c r="J504" s="5" t="s">
        <v>74</v>
      </c>
      <c r="K504" s="7">
        <v>0</v>
      </c>
      <c r="L504" s="8">
        <v>58</v>
      </c>
      <c r="M504" s="9"/>
    </row>
    <row r="505" s="1" customFormat="1" ht="20.1" customHeight="1" spans="1:13">
      <c r="A505" s="4" t="str">
        <f>"37502022030116060923983"</f>
        <v>37502022030116060923983</v>
      </c>
      <c r="B505" s="4" t="s">
        <v>444</v>
      </c>
      <c r="C505" s="4" t="s">
        <v>514</v>
      </c>
      <c r="D505" s="4" t="str">
        <f>"20220061726"</f>
        <v>20220061726</v>
      </c>
      <c r="E505" s="4" t="str">
        <f t="shared" si="95"/>
        <v>17</v>
      </c>
      <c r="F505" s="4" t="str">
        <f>"26"</f>
        <v>26</v>
      </c>
      <c r="G505" s="5">
        <v>0</v>
      </c>
      <c r="H505" s="5" t="s">
        <v>74</v>
      </c>
      <c r="I505" s="5">
        <v>0</v>
      </c>
      <c r="J505" s="5" t="s">
        <v>74</v>
      </c>
      <c r="K505" s="7">
        <v>0</v>
      </c>
      <c r="L505" s="8">
        <v>58</v>
      </c>
      <c r="M505" s="9"/>
    </row>
    <row r="506" s="1" customFormat="1" ht="20.1" customHeight="1" spans="1:13">
      <c r="A506" s="4" t="str">
        <f>"37502022030118430524261"</f>
        <v>37502022030118430524261</v>
      </c>
      <c r="B506" s="4" t="s">
        <v>444</v>
      </c>
      <c r="C506" s="4" t="s">
        <v>515</v>
      </c>
      <c r="D506" s="4" t="str">
        <f>"20220061803"</f>
        <v>20220061803</v>
      </c>
      <c r="E506" s="4" t="str">
        <f>"18"</f>
        <v>18</v>
      </c>
      <c r="F506" s="4" t="str">
        <f>"03"</f>
        <v>03</v>
      </c>
      <c r="G506" s="5">
        <v>0</v>
      </c>
      <c r="H506" s="5" t="s">
        <v>74</v>
      </c>
      <c r="I506" s="5">
        <v>0</v>
      </c>
      <c r="J506" s="5" t="s">
        <v>74</v>
      </c>
      <c r="K506" s="7">
        <v>0</v>
      </c>
      <c r="L506" s="8">
        <v>58</v>
      </c>
      <c r="M506" s="9"/>
    </row>
    <row r="507" s="1" customFormat="1" ht="20.1" customHeight="1" spans="1:13">
      <c r="A507" s="4" t="str">
        <f>"37502022030120260824457"</f>
        <v>37502022030120260824457</v>
      </c>
      <c r="B507" s="4" t="s">
        <v>444</v>
      </c>
      <c r="C507" s="4" t="s">
        <v>516</v>
      </c>
      <c r="D507" s="4" t="str">
        <f>"20220061725"</f>
        <v>20220061725</v>
      </c>
      <c r="E507" s="4" t="str">
        <f t="shared" ref="E507:E510" si="96">"17"</f>
        <v>17</v>
      </c>
      <c r="F507" s="4" t="str">
        <f>"25"</f>
        <v>25</v>
      </c>
      <c r="G507" s="5">
        <v>0</v>
      </c>
      <c r="H507" s="5" t="s">
        <v>74</v>
      </c>
      <c r="I507" s="5">
        <v>0</v>
      </c>
      <c r="J507" s="5" t="s">
        <v>74</v>
      </c>
      <c r="K507" s="7">
        <v>0</v>
      </c>
      <c r="L507" s="8">
        <v>58</v>
      </c>
      <c r="M507" s="9"/>
    </row>
    <row r="508" s="1" customFormat="1" ht="20.1" customHeight="1" spans="1:13">
      <c r="A508" s="4" t="str">
        <f>"37502022030121550224632"</f>
        <v>37502022030121550224632</v>
      </c>
      <c r="B508" s="4" t="s">
        <v>444</v>
      </c>
      <c r="C508" s="4" t="s">
        <v>517</v>
      </c>
      <c r="D508" s="4" t="str">
        <f>"20220061713"</f>
        <v>20220061713</v>
      </c>
      <c r="E508" s="4" t="str">
        <f t="shared" si="96"/>
        <v>17</v>
      </c>
      <c r="F508" s="4" t="str">
        <f>"13"</f>
        <v>13</v>
      </c>
      <c r="G508" s="5">
        <v>0</v>
      </c>
      <c r="H508" s="5" t="s">
        <v>74</v>
      </c>
      <c r="I508" s="5">
        <v>0</v>
      </c>
      <c r="J508" s="5" t="s">
        <v>74</v>
      </c>
      <c r="K508" s="7">
        <v>0</v>
      </c>
      <c r="L508" s="8">
        <v>58</v>
      </c>
      <c r="M508" s="9"/>
    </row>
    <row r="509" s="1" customFormat="1" ht="20.1" customHeight="1" spans="1:13">
      <c r="A509" s="4" t="str">
        <f>"37502022030213001025258"</f>
        <v>37502022030213001025258</v>
      </c>
      <c r="B509" s="4" t="s">
        <v>444</v>
      </c>
      <c r="C509" s="4" t="s">
        <v>518</v>
      </c>
      <c r="D509" s="4" t="str">
        <f>"20220061529"</f>
        <v>20220061529</v>
      </c>
      <c r="E509" s="4" t="str">
        <f t="shared" ref="E509:E513" si="97">"15"</f>
        <v>15</v>
      </c>
      <c r="F509" s="4" t="str">
        <f>"29"</f>
        <v>29</v>
      </c>
      <c r="G509" s="5">
        <v>0</v>
      </c>
      <c r="H509" s="5" t="s">
        <v>74</v>
      </c>
      <c r="I509" s="5">
        <v>0</v>
      </c>
      <c r="J509" s="5" t="s">
        <v>74</v>
      </c>
      <c r="K509" s="7">
        <v>0</v>
      </c>
      <c r="L509" s="8">
        <v>58</v>
      </c>
      <c r="M509" s="9"/>
    </row>
    <row r="510" s="1" customFormat="1" ht="20.1" customHeight="1" spans="1:13">
      <c r="A510" s="4" t="str">
        <f>"37502022030213112825279"</f>
        <v>37502022030213112825279</v>
      </c>
      <c r="B510" s="4" t="s">
        <v>444</v>
      </c>
      <c r="C510" s="4" t="s">
        <v>519</v>
      </c>
      <c r="D510" s="4" t="str">
        <f>"20220061719"</f>
        <v>20220061719</v>
      </c>
      <c r="E510" s="4" t="str">
        <f t="shared" si="96"/>
        <v>17</v>
      </c>
      <c r="F510" s="4" t="str">
        <f>"19"</f>
        <v>19</v>
      </c>
      <c r="G510" s="5">
        <v>0</v>
      </c>
      <c r="H510" s="5" t="s">
        <v>74</v>
      </c>
      <c r="I510" s="5">
        <v>0</v>
      </c>
      <c r="J510" s="5" t="s">
        <v>74</v>
      </c>
      <c r="K510" s="7">
        <v>0</v>
      </c>
      <c r="L510" s="8">
        <v>58</v>
      </c>
      <c r="M510" s="9"/>
    </row>
    <row r="511" s="1" customFormat="1" ht="20.1" customHeight="1" spans="1:13">
      <c r="A511" s="4" t="str">
        <f>"37502022030215513325501"</f>
        <v>37502022030215513325501</v>
      </c>
      <c r="B511" s="4" t="s">
        <v>444</v>
      </c>
      <c r="C511" s="4" t="s">
        <v>520</v>
      </c>
      <c r="D511" s="4" t="str">
        <f>"20220061602"</f>
        <v>20220061602</v>
      </c>
      <c r="E511" s="4" t="str">
        <f>"16"</f>
        <v>16</v>
      </c>
      <c r="F511" s="4" t="str">
        <f>"02"</f>
        <v>02</v>
      </c>
      <c r="G511" s="5">
        <v>0</v>
      </c>
      <c r="H511" s="5" t="s">
        <v>74</v>
      </c>
      <c r="I511" s="5">
        <v>0</v>
      </c>
      <c r="J511" s="5" t="s">
        <v>74</v>
      </c>
      <c r="K511" s="7">
        <v>0</v>
      </c>
      <c r="L511" s="8">
        <v>58</v>
      </c>
      <c r="M511" s="9"/>
    </row>
    <row r="512" s="1" customFormat="1" ht="20.1" customHeight="1" spans="1:13">
      <c r="A512" s="4" t="str">
        <f>"37502022030216142825520"</f>
        <v>37502022030216142825520</v>
      </c>
      <c r="B512" s="4" t="s">
        <v>444</v>
      </c>
      <c r="C512" s="4" t="s">
        <v>521</v>
      </c>
      <c r="D512" s="4" t="str">
        <f>"20220061517"</f>
        <v>20220061517</v>
      </c>
      <c r="E512" s="4" t="str">
        <f t="shared" si="97"/>
        <v>15</v>
      </c>
      <c r="F512" s="4" t="str">
        <f>"17"</f>
        <v>17</v>
      </c>
      <c r="G512" s="5">
        <v>0</v>
      </c>
      <c r="H512" s="5" t="s">
        <v>74</v>
      </c>
      <c r="I512" s="5">
        <v>0</v>
      </c>
      <c r="J512" s="5" t="s">
        <v>74</v>
      </c>
      <c r="K512" s="7">
        <v>0</v>
      </c>
      <c r="L512" s="8">
        <v>58</v>
      </c>
      <c r="M512" s="9"/>
    </row>
    <row r="513" s="1" customFormat="1" ht="20.1" customHeight="1" spans="1:13">
      <c r="A513" s="4" t="str">
        <f>"37502022030218262425704"</f>
        <v>37502022030218262425704</v>
      </c>
      <c r="B513" s="4" t="s">
        <v>444</v>
      </c>
      <c r="C513" s="4" t="s">
        <v>522</v>
      </c>
      <c r="D513" s="4" t="str">
        <f>"20220061526"</f>
        <v>20220061526</v>
      </c>
      <c r="E513" s="4" t="str">
        <f t="shared" si="97"/>
        <v>15</v>
      </c>
      <c r="F513" s="4" t="str">
        <f>"26"</f>
        <v>26</v>
      </c>
      <c r="G513" s="5">
        <v>0</v>
      </c>
      <c r="H513" s="5" t="s">
        <v>74</v>
      </c>
      <c r="I513" s="5">
        <v>0</v>
      </c>
      <c r="J513" s="5" t="s">
        <v>74</v>
      </c>
      <c r="K513" s="7">
        <v>0</v>
      </c>
      <c r="L513" s="8">
        <v>58</v>
      </c>
      <c r="M513" s="9"/>
    </row>
    <row r="514" s="1" customFormat="1" ht="20.1" customHeight="1" spans="1:13">
      <c r="A514" s="4" t="str">
        <f>"37502022030220495725956"</f>
        <v>37502022030220495725956</v>
      </c>
      <c r="B514" s="4" t="s">
        <v>444</v>
      </c>
      <c r="C514" s="4" t="s">
        <v>523</v>
      </c>
      <c r="D514" s="4" t="str">
        <f>"20220061802"</f>
        <v>20220061802</v>
      </c>
      <c r="E514" s="4" t="str">
        <f>"18"</f>
        <v>18</v>
      </c>
      <c r="F514" s="4" t="str">
        <f>"02"</f>
        <v>02</v>
      </c>
      <c r="G514" s="5">
        <v>0</v>
      </c>
      <c r="H514" s="5" t="s">
        <v>74</v>
      </c>
      <c r="I514" s="5">
        <v>0</v>
      </c>
      <c r="J514" s="5" t="s">
        <v>74</v>
      </c>
      <c r="K514" s="7">
        <v>0</v>
      </c>
      <c r="L514" s="8">
        <v>58</v>
      </c>
      <c r="M514" s="9"/>
    </row>
    <row r="515" s="1" customFormat="1" ht="20.1" customHeight="1" spans="1:13">
      <c r="A515" s="4" t="str">
        <f>"37502022030220540925960"</f>
        <v>37502022030220540925960</v>
      </c>
      <c r="B515" s="4" t="s">
        <v>444</v>
      </c>
      <c r="C515" s="4" t="s">
        <v>524</v>
      </c>
      <c r="D515" s="4" t="str">
        <f>"20220061715"</f>
        <v>20220061715</v>
      </c>
      <c r="E515" s="4" t="str">
        <f>"17"</f>
        <v>17</v>
      </c>
      <c r="F515" s="4" t="str">
        <f>"15"</f>
        <v>15</v>
      </c>
      <c r="G515" s="5">
        <v>0</v>
      </c>
      <c r="H515" s="5" t="s">
        <v>74</v>
      </c>
      <c r="I515" s="5">
        <v>0</v>
      </c>
      <c r="J515" s="5" t="s">
        <v>74</v>
      </c>
      <c r="K515" s="7">
        <v>0</v>
      </c>
      <c r="L515" s="8">
        <v>58</v>
      </c>
      <c r="M515" s="9"/>
    </row>
    <row r="516" s="1" customFormat="1" ht="20.1" customHeight="1" spans="1:13">
      <c r="A516" s="4" t="str">
        <f>"37502022030221140325997"</f>
        <v>37502022030221140325997</v>
      </c>
      <c r="B516" s="4" t="s">
        <v>444</v>
      </c>
      <c r="C516" s="4" t="s">
        <v>525</v>
      </c>
      <c r="D516" s="4" t="str">
        <f>"20220061630"</f>
        <v>20220061630</v>
      </c>
      <c r="E516" s="4" t="str">
        <f>"16"</f>
        <v>16</v>
      </c>
      <c r="F516" s="4" t="str">
        <f>"30"</f>
        <v>30</v>
      </c>
      <c r="G516" s="5">
        <v>0</v>
      </c>
      <c r="H516" s="5" t="s">
        <v>74</v>
      </c>
      <c r="I516" s="5">
        <v>0</v>
      </c>
      <c r="J516" s="5" t="s">
        <v>74</v>
      </c>
      <c r="K516" s="7">
        <v>0</v>
      </c>
      <c r="L516" s="8">
        <v>58</v>
      </c>
      <c r="M516" s="9"/>
    </row>
    <row r="517" s="1" customFormat="1" ht="20.1" customHeight="1" spans="1:13">
      <c r="A517" s="4" t="str">
        <f>"37502022022610095318841"</f>
        <v>37502022022610095318841</v>
      </c>
      <c r="B517" s="4" t="s">
        <v>526</v>
      </c>
      <c r="C517" s="4" t="s">
        <v>527</v>
      </c>
      <c r="D517" s="4" t="str">
        <f>"20220071816"</f>
        <v>20220071816</v>
      </c>
      <c r="E517" s="4" t="str">
        <f t="shared" ref="E517:E522" si="98">"18"</f>
        <v>18</v>
      </c>
      <c r="F517" s="4" t="str">
        <f>"16"</f>
        <v>16</v>
      </c>
      <c r="G517" s="5">
        <v>78.53</v>
      </c>
      <c r="H517" s="5" t="s">
        <v>14</v>
      </c>
      <c r="I517" s="5">
        <v>88.7</v>
      </c>
      <c r="J517" s="5" t="s">
        <v>14</v>
      </c>
      <c r="K517" s="7">
        <v>85.65</v>
      </c>
      <c r="L517" s="8">
        <v>1</v>
      </c>
      <c r="M517" s="9"/>
    </row>
    <row r="518" s="1" customFormat="1" ht="20.1" customHeight="1" spans="1:13">
      <c r="A518" s="4" t="str">
        <f>"37502022022712504820124"</f>
        <v>37502022022712504820124</v>
      </c>
      <c r="B518" s="4" t="s">
        <v>526</v>
      </c>
      <c r="C518" s="4" t="s">
        <v>528</v>
      </c>
      <c r="D518" s="4" t="str">
        <f>"20220071911"</f>
        <v>20220071911</v>
      </c>
      <c r="E518" s="4" t="str">
        <f>"19"</f>
        <v>19</v>
      </c>
      <c r="F518" s="4" t="str">
        <f>"11"</f>
        <v>11</v>
      </c>
      <c r="G518" s="5">
        <v>71.41</v>
      </c>
      <c r="H518" s="5" t="s">
        <v>14</v>
      </c>
      <c r="I518" s="5">
        <v>88.7</v>
      </c>
      <c r="J518" s="5" t="s">
        <v>14</v>
      </c>
      <c r="K518" s="7">
        <v>83.51</v>
      </c>
      <c r="L518" s="8">
        <v>2</v>
      </c>
      <c r="M518" s="9"/>
    </row>
    <row r="519" s="1" customFormat="1" ht="20.1" customHeight="1" spans="1:13">
      <c r="A519" s="4" t="str">
        <f>"37502022022609252818710"</f>
        <v>37502022022609252818710</v>
      </c>
      <c r="B519" s="4" t="s">
        <v>526</v>
      </c>
      <c r="C519" s="4" t="s">
        <v>529</v>
      </c>
      <c r="D519" s="4" t="str">
        <f>"20220071912"</f>
        <v>20220071912</v>
      </c>
      <c r="E519" s="4" t="str">
        <f>"19"</f>
        <v>19</v>
      </c>
      <c r="F519" s="4" t="str">
        <f>"12"</f>
        <v>12</v>
      </c>
      <c r="G519" s="5">
        <v>82.87</v>
      </c>
      <c r="H519" s="5" t="s">
        <v>14</v>
      </c>
      <c r="I519" s="5">
        <v>83.3</v>
      </c>
      <c r="J519" s="5" t="s">
        <v>14</v>
      </c>
      <c r="K519" s="7">
        <v>83.17</v>
      </c>
      <c r="L519" s="8">
        <v>3</v>
      </c>
      <c r="M519" s="9"/>
    </row>
    <row r="520" s="1" customFormat="1" ht="20.1" customHeight="1" spans="1:13">
      <c r="A520" s="4" t="str">
        <f>"37502022022718093020564"</f>
        <v>37502022022718093020564</v>
      </c>
      <c r="B520" s="4" t="s">
        <v>526</v>
      </c>
      <c r="C520" s="4" t="s">
        <v>530</v>
      </c>
      <c r="D520" s="4" t="str">
        <f>"20220071828"</f>
        <v>20220071828</v>
      </c>
      <c r="E520" s="4" t="str">
        <f t="shared" si="98"/>
        <v>18</v>
      </c>
      <c r="F520" s="4" t="str">
        <f>"28"</f>
        <v>28</v>
      </c>
      <c r="G520" s="5">
        <v>86.29</v>
      </c>
      <c r="H520" s="5" t="s">
        <v>14</v>
      </c>
      <c r="I520" s="5">
        <v>80.4</v>
      </c>
      <c r="J520" s="5" t="s">
        <v>14</v>
      </c>
      <c r="K520" s="7">
        <v>82.17</v>
      </c>
      <c r="L520" s="8">
        <v>4</v>
      </c>
      <c r="M520" s="9"/>
    </row>
    <row r="521" s="1" customFormat="1" ht="20.1" customHeight="1" spans="1:13">
      <c r="A521" s="4" t="str">
        <f>"37502022030109132823205"</f>
        <v>37502022030109132823205</v>
      </c>
      <c r="B521" s="4" t="s">
        <v>526</v>
      </c>
      <c r="C521" s="4" t="s">
        <v>531</v>
      </c>
      <c r="D521" s="4" t="str">
        <f>"20220071810"</f>
        <v>20220071810</v>
      </c>
      <c r="E521" s="4" t="str">
        <f t="shared" si="98"/>
        <v>18</v>
      </c>
      <c r="F521" s="4" t="str">
        <f>"10"</f>
        <v>10</v>
      </c>
      <c r="G521" s="5">
        <v>81.78</v>
      </c>
      <c r="H521" s="5" t="s">
        <v>14</v>
      </c>
      <c r="I521" s="5">
        <v>81.7</v>
      </c>
      <c r="J521" s="5" t="s">
        <v>14</v>
      </c>
      <c r="K521" s="7">
        <v>81.72</v>
      </c>
      <c r="L521" s="8">
        <v>5</v>
      </c>
      <c r="M521" s="9"/>
    </row>
    <row r="522" s="1" customFormat="1" ht="20.1" customHeight="1" spans="1:13">
      <c r="A522" s="4" t="str">
        <f>"37502022022821430823023"</f>
        <v>37502022022821430823023</v>
      </c>
      <c r="B522" s="4" t="s">
        <v>526</v>
      </c>
      <c r="C522" s="4" t="s">
        <v>532</v>
      </c>
      <c r="D522" s="4" t="str">
        <f>"20220071822"</f>
        <v>20220071822</v>
      </c>
      <c r="E522" s="4" t="str">
        <f t="shared" si="98"/>
        <v>18</v>
      </c>
      <c r="F522" s="4" t="str">
        <f>"22"</f>
        <v>22</v>
      </c>
      <c r="G522" s="5">
        <v>71.85</v>
      </c>
      <c r="H522" s="5" t="s">
        <v>14</v>
      </c>
      <c r="I522" s="5">
        <v>84.4</v>
      </c>
      <c r="J522" s="5" t="s">
        <v>14</v>
      </c>
      <c r="K522" s="7">
        <v>80.64</v>
      </c>
      <c r="L522" s="8">
        <v>6</v>
      </c>
      <c r="M522" s="9"/>
    </row>
    <row r="523" s="1" customFormat="1" ht="20.1" customHeight="1" spans="1:13">
      <c r="A523" s="4" t="str">
        <f>"37502022030120330024468"</f>
        <v>37502022030120330024468</v>
      </c>
      <c r="B523" s="4" t="s">
        <v>526</v>
      </c>
      <c r="C523" s="4" t="s">
        <v>533</v>
      </c>
      <c r="D523" s="4" t="str">
        <f>"20220072017"</f>
        <v>20220072017</v>
      </c>
      <c r="E523" s="4" t="str">
        <f>"20"</f>
        <v>20</v>
      </c>
      <c r="F523" s="4" t="str">
        <f>"17"</f>
        <v>17</v>
      </c>
      <c r="G523" s="5">
        <v>86.55</v>
      </c>
      <c r="H523" s="5" t="s">
        <v>14</v>
      </c>
      <c r="I523" s="5">
        <v>78</v>
      </c>
      <c r="J523" s="5" t="s">
        <v>14</v>
      </c>
      <c r="K523" s="7">
        <v>80.57</v>
      </c>
      <c r="L523" s="8">
        <v>7</v>
      </c>
      <c r="M523" s="9"/>
    </row>
    <row r="524" s="1" customFormat="1" ht="20.1" customHeight="1" spans="1:13">
      <c r="A524" s="4" t="str">
        <f>"37502022022617073219428"</f>
        <v>37502022022617073219428</v>
      </c>
      <c r="B524" s="4" t="s">
        <v>526</v>
      </c>
      <c r="C524" s="4" t="s">
        <v>534</v>
      </c>
      <c r="D524" s="4" t="str">
        <f>"20220072008"</f>
        <v>20220072008</v>
      </c>
      <c r="E524" s="4" t="str">
        <f>"20"</f>
        <v>20</v>
      </c>
      <c r="F524" s="4" t="str">
        <f>"08"</f>
        <v>08</v>
      </c>
      <c r="G524" s="5">
        <v>78</v>
      </c>
      <c r="H524" s="5" t="s">
        <v>14</v>
      </c>
      <c r="I524" s="5">
        <v>80.5</v>
      </c>
      <c r="J524" s="5" t="s">
        <v>14</v>
      </c>
      <c r="K524" s="7">
        <v>79.75</v>
      </c>
      <c r="L524" s="8">
        <v>8</v>
      </c>
      <c r="M524" s="9"/>
    </row>
    <row r="525" s="1" customFormat="1" ht="20.1" customHeight="1" spans="1:13">
      <c r="A525" s="4" t="str">
        <f>"37502022022609293018720"</f>
        <v>37502022022609293018720</v>
      </c>
      <c r="B525" s="4" t="s">
        <v>526</v>
      </c>
      <c r="C525" s="4" t="s">
        <v>535</v>
      </c>
      <c r="D525" s="4" t="str">
        <f>"20220071805"</f>
        <v>20220071805</v>
      </c>
      <c r="E525" s="4" t="str">
        <f>"18"</f>
        <v>18</v>
      </c>
      <c r="F525" s="4" t="str">
        <f>"05"</f>
        <v>05</v>
      </c>
      <c r="G525" s="5">
        <v>73.79</v>
      </c>
      <c r="H525" s="5" t="s">
        <v>14</v>
      </c>
      <c r="I525" s="5">
        <v>82</v>
      </c>
      <c r="J525" s="5" t="s">
        <v>14</v>
      </c>
      <c r="K525" s="7">
        <v>79.54</v>
      </c>
      <c r="L525" s="8">
        <v>9</v>
      </c>
      <c r="M525" s="9"/>
    </row>
    <row r="526" s="1" customFormat="1" ht="20.1" customHeight="1" spans="1:13">
      <c r="A526" s="4" t="str">
        <f>"37502022030110423023431"</f>
        <v>37502022030110423023431</v>
      </c>
      <c r="B526" s="4" t="s">
        <v>526</v>
      </c>
      <c r="C526" s="4" t="s">
        <v>536</v>
      </c>
      <c r="D526" s="4" t="str">
        <f>"20220071916"</f>
        <v>20220071916</v>
      </c>
      <c r="E526" s="4" t="str">
        <f t="shared" ref="E526:E531" si="99">"19"</f>
        <v>19</v>
      </c>
      <c r="F526" s="4" t="str">
        <f>"16"</f>
        <v>16</v>
      </c>
      <c r="G526" s="5">
        <v>77.45</v>
      </c>
      <c r="H526" s="5" t="s">
        <v>14</v>
      </c>
      <c r="I526" s="5">
        <v>79.7</v>
      </c>
      <c r="J526" s="5" t="s">
        <v>14</v>
      </c>
      <c r="K526" s="7">
        <v>79.03</v>
      </c>
      <c r="L526" s="8">
        <v>10</v>
      </c>
      <c r="M526" s="9"/>
    </row>
    <row r="527" s="1" customFormat="1" ht="20.1" customHeight="1" spans="1:13">
      <c r="A527" s="4" t="str">
        <f>"37502022022609102618684"</f>
        <v>37502022022609102618684</v>
      </c>
      <c r="B527" s="4" t="s">
        <v>526</v>
      </c>
      <c r="C527" s="4" t="s">
        <v>537</v>
      </c>
      <c r="D527" s="4" t="str">
        <f>"20220071903"</f>
        <v>20220071903</v>
      </c>
      <c r="E527" s="4" t="str">
        <f t="shared" si="99"/>
        <v>19</v>
      </c>
      <c r="F527" s="4" t="str">
        <f>"03"</f>
        <v>03</v>
      </c>
      <c r="G527" s="5">
        <v>78.97</v>
      </c>
      <c r="H527" s="5" t="s">
        <v>14</v>
      </c>
      <c r="I527" s="5">
        <v>78.7</v>
      </c>
      <c r="J527" s="5" t="s">
        <v>14</v>
      </c>
      <c r="K527" s="7">
        <v>78.78</v>
      </c>
      <c r="L527" s="8">
        <v>11</v>
      </c>
      <c r="M527" s="9"/>
    </row>
    <row r="528" s="1" customFormat="1" ht="20.1" customHeight="1" spans="1:13">
      <c r="A528" s="4" t="str">
        <f>"37502022022808302421326"</f>
        <v>37502022022808302421326</v>
      </c>
      <c r="B528" s="4" t="s">
        <v>526</v>
      </c>
      <c r="C528" s="4" t="s">
        <v>538</v>
      </c>
      <c r="D528" s="4" t="str">
        <f>"20220071812"</f>
        <v>20220071812</v>
      </c>
      <c r="E528" s="4" t="str">
        <f t="shared" ref="E528:E533" si="100">"18"</f>
        <v>18</v>
      </c>
      <c r="F528" s="4" t="str">
        <f>"12"</f>
        <v>12</v>
      </c>
      <c r="G528" s="5">
        <v>79.82</v>
      </c>
      <c r="H528" s="5" t="s">
        <v>14</v>
      </c>
      <c r="I528" s="5">
        <v>77.7</v>
      </c>
      <c r="J528" s="5" t="s">
        <v>14</v>
      </c>
      <c r="K528" s="7">
        <v>78.34</v>
      </c>
      <c r="L528" s="8">
        <v>12</v>
      </c>
      <c r="M528" s="9"/>
    </row>
    <row r="529" s="1" customFormat="1" ht="20.1" customHeight="1" spans="1:13">
      <c r="A529" s="4" t="str">
        <f>"37502022030209375624936"</f>
        <v>37502022030209375624936</v>
      </c>
      <c r="B529" s="4" t="s">
        <v>526</v>
      </c>
      <c r="C529" s="4" t="s">
        <v>539</v>
      </c>
      <c r="D529" s="4" t="str">
        <f>"20220072002"</f>
        <v>20220072002</v>
      </c>
      <c r="E529" s="4" t="str">
        <f>"20"</f>
        <v>20</v>
      </c>
      <c r="F529" s="4" t="str">
        <f>"02"</f>
        <v>02</v>
      </c>
      <c r="G529" s="5">
        <v>74.47</v>
      </c>
      <c r="H529" s="5" t="s">
        <v>14</v>
      </c>
      <c r="I529" s="5">
        <v>79.9</v>
      </c>
      <c r="J529" s="5" t="s">
        <v>14</v>
      </c>
      <c r="K529" s="7">
        <v>78.27</v>
      </c>
      <c r="L529" s="8">
        <v>13</v>
      </c>
      <c r="M529" s="9"/>
    </row>
    <row r="530" s="1" customFormat="1" ht="20.1" customHeight="1" spans="1:13">
      <c r="A530" s="4" t="str">
        <f>"37502022022609342118734"</f>
        <v>37502022022609342118734</v>
      </c>
      <c r="B530" s="4" t="s">
        <v>526</v>
      </c>
      <c r="C530" s="4" t="s">
        <v>540</v>
      </c>
      <c r="D530" s="4" t="str">
        <f>"20220071921"</f>
        <v>20220071921</v>
      </c>
      <c r="E530" s="4" t="str">
        <f t="shared" si="99"/>
        <v>19</v>
      </c>
      <c r="F530" s="4" t="str">
        <f>"21"</f>
        <v>21</v>
      </c>
      <c r="G530" s="5">
        <v>78.26</v>
      </c>
      <c r="H530" s="5" t="s">
        <v>14</v>
      </c>
      <c r="I530" s="5">
        <v>78.2</v>
      </c>
      <c r="J530" s="5" t="s">
        <v>14</v>
      </c>
      <c r="K530" s="7">
        <v>78.22</v>
      </c>
      <c r="L530" s="8">
        <v>14</v>
      </c>
      <c r="M530" s="9"/>
    </row>
    <row r="531" s="1" customFormat="1" ht="20.1" customHeight="1" spans="1:13">
      <c r="A531" s="4" t="str">
        <f>"37502022022819045222872"</f>
        <v>37502022022819045222872</v>
      </c>
      <c r="B531" s="4" t="s">
        <v>526</v>
      </c>
      <c r="C531" s="4" t="s">
        <v>541</v>
      </c>
      <c r="D531" s="4" t="str">
        <f>"20220071907"</f>
        <v>20220071907</v>
      </c>
      <c r="E531" s="4" t="str">
        <f t="shared" si="99"/>
        <v>19</v>
      </c>
      <c r="F531" s="4" t="str">
        <f>"07"</f>
        <v>07</v>
      </c>
      <c r="G531" s="5">
        <v>72.01</v>
      </c>
      <c r="H531" s="5" t="s">
        <v>14</v>
      </c>
      <c r="I531" s="5">
        <v>80.8</v>
      </c>
      <c r="J531" s="5" t="s">
        <v>14</v>
      </c>
      <c r="K531" s="7">
        <v>78.16</v>
      </c>
      <c r="L531" s="8">
        <v>15</v>
      </c>
      <c r="M531" s="9"/>
    </row>
    <row r="532" s="1" customFormat="1" ht="20.1" customHeight="1" spans="1:13">
      <c r="A532" s="4" t="str">
        <f>"37502022030110573623466"</f>
        <v>37502022030110573623466</v>
      </c>
      <c r="B532" s="4" t="s">
        <v>526</v>
      </c>
      <c r="C532" s="4" t="s">
        <v>542</v>
      </c>
      <c r="D532" s="4" t="str">
        <f>"20220071808"</f>
        <v>20220071808</v>
      </c>
      <c r="E532" s="4" t="str">
        <f t="shared" si="100"/>
        <v>18</v>
      </c>
      <c r="F532" s="4" t="str">
        <f>"08"</f>
        <v>08</v>
      </c>
      <c r="G532" s="5">
        <v>82.64</v>
      </c>
      <c r="H532" s="5" t="s">
        <v>14</v>
      </c>
      <c r="I532" s="5">
        <v>76.1</v>
      </c>
      <c r="J532" s="5" t="s">
        <v>14</v>
      </c>
      <c r="K532" s="7">
        <v>78.06</v>
      </c>
      <c r="L532" s="8">
        <v>16</v>
      </c>
      <c r="M532" s="9"/>
    </row>
    <row r="533" s="1" customFormat="1" ht="20.1" customHeight="1" spans="1:13">
      <c r="A533" s="4" t="str">
        <f>"37502022022608524618658"</f>
        <v>37502022022608524618658</v>
      </c>
      <c r="B533" s="4" t="s">
        <v>526</v>
      </c>
      <c r="C533" s="4" t="s">
        <v>543</v>
      </c>
      <c r="D533" s="4" t="str">
        <f>"20220071824"</f>
        <v>20220071824</v>
      </c>
      <c r="E533" s="4" t="str">
        <f t="shared" si="100"/>
        <v>18</v>
      </c>
      <c r="F533" s="4" t="str">
        <f>"24"</f>
        <v>24</v>
      </c>
      <c r="G533" s="5">
        <v>72.33</v>
      </c>
      <c r="H533" s="5" t="s">
        <v>14</v>
      </c>
      <c r="I533" s="5">
        <v>80</v>
      </c>
      <c r="J533" s="5" t="s">
        <v>14</v>
      </c>
      <c r="K533" s="7">
        <v>77.7</v>
      </c>
      <c r="L533" s="8">
        <v>17</v>
      </c>
      <c r="M533" s="9"/>
    </row>
    <row r="534" s="1" customFormat="1" ht="20.1" customHeight="1" spans="1:13">
      <c r="A534" s="4" t="str">
        <f>"37502022022610235018913"</f>
        <v>37502022022610235018913</v>
      </c>
      <c r="B534" s="4" t="s">
        <v>526</v>
      </c>
      <c r="C534" s="4" t="s">
        <v>544</v>
      </c>
      <c r="D534" s="4" t="str">
        <f>"20220071919"</f>
        <v>20220071919</v>
      </c>
      <c r="E534" s="4" t="str">
        <f t="shared" ref="E534:E539" si="101">"19"</f>
        <v>19</v>
      </c>
      <c r="F534" s="4" t="str">
        <f>"19"</f>
        <v>19</v>
      </c>
      <c r="G534" s="5">
        <v>71.84</v>
      </c>
      <c r="H534" s="5" t="s">
        <v>14</v>
      </c>
      <c r="I534" s="5">
        <v>79.5</v>
      </c>
      <c r="J534" s="5" t="s">
        <v>14</v>
      </c>
      <c r="K534" s="7">
        <v>77.2</v>
      </c>
      <c r="L534" s="8">
        <v>18</v>
      </c>
      <c r="M534" s="9"/>
    </row>
    <row r="535" s="1" customFormat="1" ht="20.1" customHeight="1" spans="1:13">
      <c r="A535" s="4" t="str">
        <f>"37502022030117054824101"</f>
        <v>37502022030117054824101</v>
      </c>
      <c r="B535" s="4" t="s">
        <v>526</v>
      </c>
      <c r="C535" s="4" t="s">
        <v>545</v>
      </c>
      <c r="D535" s="4" t="str">
        <f>"20220071811"</f>
        <v>20220071811</v>
      </c>
      <c r="E535" s="4" t="str">
        <f>"18"</f>
        <v>18</v>
      </c>
      <c r="F535" s="4" t="str">
        <f>"11"</f>
        <v>11</v>
      </c>
      <c r="G535" s="5">
        <v>74.95</v>
      </c>
      <c r="H535" s="5" t="s">
        <v>14</v>
      </c>
      <c r="I535" s="5">
        <v>78.1</v>
      </c>
      <c r="J535" s="5" t="s">
        <v>14</v>
      </c>
      <c r="K535" s="7">
        <v>77.16</v>
      </c>
      <c r="L535" s="8">
        <v>19</v>
      </c>
      <c r="M535" s="9"/>
    </row>
    <row r="536" s="1" customFormat="1" ht="20.1" customHeight="1" spans="1:13">
      <c r="A536" s="4" t="str">
        <f>"37502022022609381518746"</f>
        <v>37502022022609381518746</v>
      </c>
      <c r="B536" s="4" t="s">
        <v>526</v>
      </c>
      <c r="C536" s="4" t="s">
        <v>546</v>
      </c>
      <c r="D536" s="4" t="str">
        <f>"20220071924"</f>
        <v>20220071924</v>
      </c>
      <c r="E536" s="4" t="str">
        <f t="shared" si="101"/>
        <v>19</v>
      </c>
      <c r="F536" s="4" t="str">
        <f>"24"</f>
        <v>24</v>
      </c>
      <c r="G536" s="5">
        <v>73.46</v>
      </c>
      <c r="H536" s="5" t="s">
        <v>14</v>
      </c>
      <c r="I536" s="5">
        <v>78.2</v>
      </c>
      <c r="J536" s="5" t="s">
        <v>14</v>
      </c>
      <c r="K536" s="7">
        <v>76.78</v>
      </c>
      <c r="L536" s="8">
        <v>20</v>
      </c>
      <c r="M536" s="9"/>
    </row>
    <row r="537" s="1" customFormat="1" ht="20.1" customHeight="1" spans="1:13">
      <c r="A537" s="4" t="str">
        <f>"37502022022615181519301"</f>
        <v>37502022022615181519301</v>
      </c>
      <c r="B537" s="4" t="s">
        <v>526</v>
      </c>
      <c r="C537" s="4" t="s">
        <v>547</v>
      </c>
      <c r="D537" s="4" t="str">
        <f>"20220072006"</f>
        <v>20220072006</v>
      </c>
      <c r="E537" s="4" t="str">
        <f>"20"</f>
        <v>20</v>
      </c>
      <c r="F537" s="4" t="str">
        <f>"06"</f>
        <v>06</v>
      </c>
      <c r="G537" s="5">
        <v>70.13</v>
      </c>
      <c r="H537" s="5" t="s">
        <v>14</v>
      </c>
      <c r="I537" s="5">
        <v>77.6</v>
      </c>
      <c r="J537" s="5" t="s">
        <v>14</v>
      </c>
      <c r="K537" s="7">
        <v>75.36</v>
      </c>
      <c r="L537" s="8">
        <v>21</v>
      </c>
      <c r="M537" s="9"/>
    </row>
    <row r="538" s="1" customFormat="1" ht="20.1" customHeight="1" spans="1:13">
      <c r="A538" s="4" t="str">
        <f>"37502022022715492220374"</f>
        <v>37502022022715492220374</v>
      </c>
      <c r="B538" s="4" t="s">
        <v>526</v>
      </c>
      <c r="C538" s="4" t="s">
        <v>548</v>
      </c>
      <c r="D538" s="4" t="str">
        <f>"20220071818"</f>
        <v>20220071818</v>
      </c>
      <c r="E538" s="4" t="str">
        <f>"18"</f>
        <v>18</v>
      </c>
      <c r="F538" s="4" t="str">
        <f>"18"</f>
        <v>18</v>
      </c>
      <c r="G538" s="5">
        <v>76.22</v>
      </c>
      <c r="H538" s="5" t="s">
        <v>14</v>
      </c>
      <c r="I538" s="5">
        <v>74.9</v>
      </c>
      <c r="J538" s="5" t="s">
        <v>14</v>
      </c>
      <c r="K538" s="7">
        <v>75.3</v>
      </c>
      <c r="L538" s="8">
        <v>22</v>
      </c>
      <c r="M538" s="9"/>
    </row>
    <row r="539" s="1" customFormat="1" ht="20.1" customHeight="1" spans="1:13">
      <c r="A539" s="4" t="str">
        <f>"37502022022609401618759"</f>
        <v>37502022022609401618759</v>
      </c>
      <c r="B539" s="4" t="s">
        <v>526</v>
      </c>
      <c r="C539" s="4" t="s">
        <v>549</v>
      </c>
      <c r="D539" s="4" t="str">
        <f>"20220071925"</f>
        <v>20220071925</v>
      </c>
      <c r="E539" s="4" t="str">
        <f t="shared" si="101"/>
        <v>19</v>
      </c>
      <c r="F539" s="4" t="str">
        <f>"25"</f>
        <v>25</v>
      </c>
      <c r="G539" s="5">
        <v>67.85</v>
      </c>
      <c r="H539" s="5" t="s">
        <v>14</v>
      </c>
      <c r="I539" s="5">
        <v>78.2</v>
      </c>
      <c r="J539" s="5" t="s">
        <v>14</v>
      </c>
      <c r="K539" s="7">
        <v>75.1</v>
      </c>
      <c r="L539" s="8">
        <v>23</v>
      </c>
      <c r="M539" s="9"/>
    </row>
    <row r="540" s="1" customFormat="1" ht="20.1" customHeight="1" spans="1:13">
      <c r="A540" s="4" t="str">
        <f>"37502022030112142823614"</f>
        <v>37502022030112142823614</v>
      </c>
      <c r="B540" s="4" t="s">
        <v>526</v>
      </c>
      <c r="C540" s="4" t="s">
        <v>550</v>
      </c>
      <c r="D540" s="4" t="str">
        <f>"20220072018"</f>
        <v>20220072018</v>
      </c>
      <c r="E540" s="4" t="str">
        <f t="shared" ref="E540:E545" si="102">"20"</f>
        <v>20</v>
      </c>
      <c r="F540" s="4" t="str">
        <f>"18"</f>
        <v>18</v>
      </c>
      <c r="G540" s="5">
        <v>71.62</v>
      </c>
      <c r="H540" s="5" t="s">
        <v>14</v>
      </c>
      <c r="I540" s="5">
        <v>75.5</v>
      </c>
      <c r="J540" s="5" t="s">
        <v>14</v>
      </c>
      <c r="K540" s="7">
        <v>74.34</v>
      </c>
      <c r="L540" s="8">
        <v>24</v>
      </c>
      <c r="M540" s="9"/>
    </row>
    <row r="541" s="1" customFormat="1" ht="20.1" customHeight="1" spans="1:13">
      <c r="A541" s="4" t="str">
        <f>"37502022030109151123212"</f>
        <v>37502022030109151123212</v>
      </c>
      <c r="B541" s="4" t="s">
        <v>526</v>
      </c>
      <c r="C541" s="4" t="s">
        <v>551</v>
      </c>
      <c r="D541" s="4" t="str">
        <f>"20220071909"</f>
        <v>20220071909</v>
      </c>
      <c r="E541" s="4" t="str">
        <f t="shared" ref="E541:E544" si="103">"19"</f>
        <v>19</v>
      </c>
      <c r="F541" s="4" t="str">
        <f>"09"</f>
        <v>09</v>
      </c>
      <c r="G541" s="5">
        <v>68.8</v>
      </c>
      <c r="H541" s="5" t="s">
        <v>14</v>
      </c>
      <c r="I541" s="5">
        <v>75.8</v>
      </c>
      <c r="J541" s="5" t="s">
        <v>14</v>
      </c>
      <c r="K541" s="7">
        <v>73.7</v>
      </c>
      <c r="L541" s="8">
        <v>25</v>
      </c>
      <c r="M541" s="9"/>
    </row>
    <row r="542" s="1" customFormat="1" ht="20.1" customHeight="1" spans="1:13">
      <c r="A542" s="4" t="str">
        <f>"37502022030109493523294"</f>
        <v>37502022030109493523294</v>
      </c>
      <c r="B542" s="4" t="s">
        <v>526</v>
      </c>
      <c r="C542" s="4" t="s">
        <v>552</v>
      </c>
      <c r="D542" s="4" t="str">
        <f>"20220071910"</f>
        <v>20220071910</v>
      </c>
      <c r="E542" s="4" t="str">
        <f t="shared" si="103"/>
        <v>19</v>
      </c>
      <c r="F542" s="4" t="str">
        <f>"10"</f>
        <v>10</v>
      </c>
      <c r="G542" s="5">
        <v>73.38</v>
      </c>
      <c r="H542" s="5" t="s">
        <v>14</v>
      </c>
      <c r="I542" s="5">
        <v>73.6</v>
      </c>
      <c r="J542" s="5" t="s">
        <v>14</v>
      </c>
      <c r="K542" s="7">
        <v>73.53</v>
      </c>
      <c r="L542" s="8">
        <v>26</v>
      </c>
      <c r="M542" s="9"/>
    </row>
    <row r="543" s="1" customFormat="1" ht="20.1" customHeight="1" spans="1:13">
      <c r="A543" s="4" t="str">
        <f>"37502022030121580824637"</f>
        <v>37502022030121580824637</v>
      </c>
      <c r="B543" s="4" t="s">
        <v>526</v>
      </c>
      <c r="C543" s="4" t="s">
        <v>291</v>
      </c>
      <c r="D543" s="4" t="str">
        <f>"20220072013"</f>
        <v>20220072013</v>
      </c>
      <c r="E543" s="4" t="str">
        <f t="shared" si="102"/>
        <v>20</v>
      </c>
      <c r="F543" s="4" t="str">
        <f>"13"</f>
        <v>13</v>
      </c>
      <c r="G543" s="5">
        <v>74.13</v>
      </c>
      <c r="H543" s="5" t="s">
        <v>14</v>
      </c>
      <c r="I543" s="5">
        <v>72.9</v>
      </c>
      <c r="J543" s="5" t="s">
        <v>14</v>
      </c>
      <c r="K543" s="7">
        <v>73.27</v>
      </c>
      <c r="L543" s="8">
        <v>27</v>
      </c>
      <c r="M543" s="9"/>
    </row>
    <row r="544" s="1" customFormat="1" ht="20.1" customHeight="1" spans="1:13">
      <c r="A544" s="4" t="str">
        <f>"37502022022608192118632"</f>
        <v>37502022022608192118632</v>
      </c>
      <c r="B544" s="4" t="s">
        <v>526</v>
      </c>
      <c r="C544" s="4" t="s">
        <v>553</v>
      </c>
      <c r="D544" s="4" t="str">
        <f>"20220071917"</f>
        <v>20220071917</v>
      </c>
      <c r="E544" s="4" t="str">
        <f t="shared" si="103"/>
        <v>19</v>
      </c>
      <c r="F544" s="4" t="str">
        <f>"17"</f>
        <v>17</v>
      </c>
      <c r="G544" s="5">
        <v>75.14</v>
      </c>
      <c r="H544" s="5" t="s">
        <v>14</v>
      </c>
      <c r="I544" s="5">
        <v>71.4</v>
      </c>
      <c r="J544" s="5" t="s">
        <v>14</v>
      </c>
      <c r="K544" s="7">
        <v>72.52</v>
      </c>
      <c r="L544" s="8">
        <v>28</v>
      </c>
      <c r="M544" s="9"/>
    </row>
    <row r="545" s="1" customFormat="1" ht="20.1" customHeight="1" spans="1:13">
      <c r="A545" s="4" t="str">
        <f>"37502022030210464625054"</f>
        <v>37502022030210464625054</v>
      </c>
      <c r="B545" s="4" t="s">
        <v>526</v>
      </c>
      <c r="C545" s="4" t="s">
        <v>554</v>
      </c>
      <c r="D545" s="4" t="str">
        <f>"20220072011"</f>
        <v>20220072011</v>
      </c>
      <c r="E545" s="4" t="str">
        <f t="shared" si="102"/>
        <v>20</v>
      </c>
      <c r="F545" s="4" t="str">
        <f>"11"</f>
        <v>11</v>
      </c>
      <c r="G545" s="5">
        <v>73.36</v>
      </c>
      <c r="H545" s="5" t="s">
        <v>14</v>
      </c>
      <c r="I545" s="5">
        <v>71.9</v>
      </c>
      <c r="J545" s="5" t="s">
        <v>14</v>
      </c>
      <c r="K545" s="7">
        <v>72.34</v>
      </c>
      <c r="L545" s="8">
        <v>29</v>
      </c>
      <c r="M545" s="9"/>
    </row>
    <row r="546" s="1" customFormat="1" ht="20.1" customHeight="1" spans="1:13">
      <c r="A546" s="4" t="str">
        <f>"37502022022612480019124"</f>
        <v>37502022022612480019124</v>
      </c>
      <c r="B546" s="4" t="s">
        <v>526</v>
      </c>
      <c r="C546" s="4" t="s">
        <v>555</v>
      </c>
      <c r="D546" s="4" t="str">
        <f>"20220071920"</f>
        <v>20220071920</v>
      </c>
      <c r="E546" s="4" t="str">
        <f>"19"</f>
        <v>19</v>
      </c>
      <c r="F546" s="4" t="str">
        <f>"20"</f>
        <v>20</v>
      </c>
      <c r="G546" s="5">
        <v>65.16</v>
      </c>
      <c r="H546" s="5" t="s">
        <v>14</v>
      </c>
      <c r="I546" s="5">
        <v>75.2</v>
      </c>
      <c r="J546" s="5" t="s">
        <v>14</v>
      </c>
      <c r="K546" s="7">
        <v>72.19</v>
      </c>
      <c r="L546" s="8">
        <v>30</v>
      </c>
      <c r="M546" s="9"/>
    </row>
    <row r="547" s="1" customFormat="1" ht="20.1" customHeight="1" spans="1:13">
      <c r="A547" s="4" t="str">
        <f>"37502022022711163320007"</f>
        <v>37502022022711163320007</v>
      </c>
      <c r="B547" s="4" t="s">
        <v>526</v>
      </c>
      <c r="C547" s="4" t="s">
        <v>556</v>
      </c>
      <c r="D547" s="4" t="str">
        <f>"20220071820"</f>
        <v>20220071820</v>
      </c>
      <c r="E547" s="4" t="str">
        <f t="shared" ref="E547:E551" si="104">"18"</f>
        <v>18</v>
      </c>
      <c r="F547" s="4" t="str">
        <f>"20"</f>
        <v>20</v>
      </c>
      <c r="G547" s="5">
        <v>75.81</v>
      </c>
      <c r="H547" s="5" t="s">
        <v>14</v>
      </c>
      <c r="I547" s="5">
        <v>70.5</v>
      </c>
      <c r="J547" s="5" t="s">
        <v>14</v>
      </c>
      <c r="K547" s="7">
        <v>72.09</v>
      </c>
      <c r="L547" s="8">
        <v>31</v>
      </c>
      <c r="M547" s="9"/>
    </row>
    <row r="548" s="1" customFormat="1" ht="20.1" customHeight="1" spans="1:13">
      <c r="A548" s="4" t="str">
        <f>"37502022022720592220870"</f>
        <v>37502022022720592220870</v>
      </c>
      <c r="B548" s="4" t="s">
        <v>526</v>
      </c>
      <c r="C548" s="4" t="s">
        <v>137</v>
      </c>
      <c r="D548" s="4" t="str">
        <f>"20220071926"</f>
        <v>20220071926</v>
      </c>
      <c r="E548" s="4" t="str">
        <f>"19"</f>
        <v>19</v>
      </c>
      <c r="F548" s="4" t="str">
        <f>"26"</f>
        <v>26</v>
      </c>
      <c r="G548" s="5">
        <v>69.35</v>
      </c>
      <c r="H548" s="5" t="s">
        <v>14</v>
      </c>
      <c r="I548" s="5">
        <v>72.9</v>
      </c>
      <c r="J548" s="5" t="s">
        <v>14</v>
      </c>
      <c r="K548" s="7">
        <v>71.84</v>
      </c>
      <c r="L548" s="8">
        <v>32</v>
      </c>
      <c r="M548" s="9"/>
    </row>
    <row r="549" s="1" customFormat="1" ht="20.1" customHeight="1" spans="1:13">
      <c r="A549" s="4" t="str">
        <f>"37502022030113520823785"</f>
        <v>37502022030113520823785</v>
      </c>
      <c r="B549" s="4" t="s">
        <v>526</v>
      </c>
      <c r="C549" s="4" t="s">
        <v>557</v>
      </c>
      <c r="D549" s="4" t="str">
        <f>"20220071814"</f>
        <v>20220071814</v>
      </c>
      <c r="E549" s="4" t="str">
        <f t="shared" si="104"/>
        <v>18</v>
      </c>
      <c r="F549" s="4" t="str">
        <f>"14"</f>
        <v>14</v>
      </c>
      <c r="G549" s="5">
        <v>70.8</v>
      </c>
      <c r="H549" s="5" t="s">
        <v>14</v>
      </c>
      <c r="I549" s="5">
        <v>70.6</v>
      </c>
      <c r="J549" s="5" t="s">
        <v>14</v>
      </c>
      <c r="K549" s="7">
        <v>70.66</v>
      </c>
      <c r="L549" s="8">
        <v>33</v>
      </c>
      <c r="M549" s="9"/>
    </row>
    <row r="550" s="1" customFormat="1" ht="20.1" customHeight="1" spans="1:13">
      <c r="A550" s="4" t="str">
        <f>"37502022030213405625324"</f>
        <v>37502022030213405625324</v>
      </c>
      <c r="B550" s="4" t="s">
        <v>526</v>
      </c>
      <c r="C550" s="4" t="s">
        <v>558</v>
      </c>
      <c r="D550" s="4" t="str">
        <f>"20220071809"</f>
        <v>20220071809</v>
      </c>
      <c r="E550" s="4" t="str">
        <f t="shared" si="104"/>
        <v>18</v>
      </c>
      <c r="F550" s="4" t="str">
        <f>"09"</f>
        <v>09</v>
      </c>
      <c r="G550" s="5">
        <v>67.67</v>
      </c>
      <c r="H550" s="5" t="s">
        <v>14</v>
      </c>
      <c r="I550" s="5">
        <v>71.7</v>
      </c>
      <c r="J550" s="5" t="s">
        <v>14</v>
      </c>
      <c r="K550" s="7">
        <v>70.49</v>
      </c>
      <c r="L550" s="8">
        <v>34</v>
      </c>
      <c r="M550" s="9"/>
    </row>
    <row r="551" s="1" customFormat="1" ht="20.1" customHeight="1" spans="1:13">
      <c r="A551" s="4" t="str">
        <f>"37502022030123181724738"</f>
        <v>37502022030123181724738</v>
      </c>
      <c r="B551" s="4" t="s">
        <v>526</v>
      </c>
      <c r="C551" s="4" t="s">
        <v>559</v>
      </c>
      <c r="D551" s="4" t="str">
        <f>"20220071817"</f>
        <v>20220071817</v>
      </c>
      <c r="E551" s="4" t="str">
        <f t="shared" si="104"/>
        <v>18</v>
      </c>
      <c r="F551" s="4" t="str">
        <f>"17"</f>
        <v>17</v>
      </c>
      <c r="G551" s="5">
        <v>61.68</v>
      </c>
      <c r="H551" s="5" t="s">
        <v>14</v>
      </c>
      <c r="I551" s="5">
        <v>74.1</v>
      </c>
      <c r="J551" s="5" t="s">
        <v>14</v>
      </c>
      <c r="K551" s="7">
        <v>70.37</v>
      </c>
      <c r="L551" s="8">
        <v>35</v>
      </c>
      <c r="M551" s="9"/>
    </row>
    <row r="552" s="1" customFormat="1" ht="20.1" customHeight="1" spans="1:13">
      <c r="A552" s="4" t="str">
        <f>"37502022022817330922798"</f>
        <v>37502022022817330922798</v>
      </c>
      <c r="B552" s="4" t="s">
        <v>526</v>
      </c>
      <c r="C552" s="4" t="s">
        <v>560</v>
      </c>
      <c r="D552" s="4" t="str">
        <f>"20220072001"</f>
        <v>20220072001</v>
      </c>
      <c r="E552" s="4" t="str">
        <f>"20"</f>
        <v>20</v>
      </c>
      <c r="F552" s="4" t="str">
        <f>"01"</f>
        <v>01</v>
      </c>
      <c r="G552" s="5">
        <v>68.74</v>
      </c>
      <c r="H552" s="5" t="s">
        <v>14</v>
      </c>
      <c r="I552" s="5">
        <v>71</v>
      </c>
      <c r="J552" s="5" t="s">
        <v>14</v>
      </c>
      <c r="K552" s="7">
        <v>70.32</v>
      </c>
      <c r="L552" s="8">
        <v>36</v>
      </c>
      <c r="M552" s="9"/>
    </row>
    <row r="553" s="1" customFormat="1" ht="20.1" customHeight="1" spans="1:13">
      <c r="A553" s="4" t="str">
        <f>"37502022030220214525908"</f>
        <v>37502022030220214525908</v>
      </c>
      <c r="B553" s="4" t="s">
        <v>526</v>
      </c>
      <c r="C553" s="4" t="s">
        <v>561</v>
      </c>
      <c r="D553" s="4" t="str">
        <f>"20220071806"</f>
        <v>20220071806</v>
      </c>
      <c r="E553" s="4" t="str">
        <f t="shared" ref="E553:E557" si="105">"18"</f>
        <v>18</v>
      </c>
      <c r="F553" s="4" t="str">
        <f>"06"</f>
        <v>06</v>
      </c>
      <c r="G553" s="5">
        <v>65.72</v>
      </c>
      <c r="H553" s="5" t="s">
        <v>14</v>
      </c>
      <c r="I553" s="5">
        <v>71.9</v>
      </c>
      <c r="J553" s="5" t="s">
        <v>14</v>
      </c>
      <c r="K553" s="7">
        <v>70.05</v>
      </c>
      <c r="L553" s="8">
        <v>37</v>
      </c>
      <c r="M553" s="9"/>
    </row>
    <row r="554" s="1" customFormat="1" ht="20.1" customHeight="1" spans="1:13">
      <c r="A554" s="4" t="str">
        <f>"37502022022612361019100"</f>
        <v>37502022022612361019100</v>
      </c>
      <c r="B554" s="4" t="s">
        <v>526</v>
      </c>
      <c r="C554" s="4" t="s">
        <v>562</v>
      </c>
      <c r="D554" s="4" t="str">
        <f>"20220071819"</f>
        <v>20220071819</v>
      </c>
      <c r="E554" s="4" t="str">
        <f t="shared" si="105"/>
        <v>18</v>
      </c>
      <c r="F554" s="4" t="str">
        <f>"19"</f>
        <v>19</v>
      </c>
      <c r="G554" s="5">
        <v>65.52</v>
      </c>
      <c r="H554" s="5" t="s">
        <v>14</v>
      </c>
      <c r="I554" s="5">
        <v>71.2</v>
      </c>
      <c r="J554" s="5" t="s">
        <v>14</v>
      </c>
      <c r="K554" s="7">
        <v>69.5</v>
      </c>
      <c r="L554" s="8">
        <v>38</v>
      </c>
      <c r="M554" s="9"/>
    </row>
    <row r="555" s="1" customFormat="1" ht="20.1" customHeight="1" spans="1:13">
      <c r="A555" s="4" t="str">
        <f>"37502022022809594521537"</f>
        <v>37502022022809594521537</v>
      </c>
      <c r="B555" s="4" t="s">
        <v>526</v>
      </c>
      <c r="C555" s="4" t="s">
        <v>563</v>
      </c>
      <c r="D555" s="4" t="str">
        <f>"20220071908"</f>
        <v>20220071908</v>
      </c>
      <c r="E555" s="4" t="str">
        <f t="shared" ref="E555:E558" si="106">"19"</f>
        <v>19</v>
      </c>
      <c r="F555" s="4" t="str">
        <f>"08"</f>
        <v>08</v>
      </c>
      <c r="G555" s="5">
        <v>65.74</v>
      </c>
      <c r="H555" s="5" t="s">
        <v>14</v>
      </c>
      <c r="I555" s="5">
        <v>71</v>
      </c>
      <c r="J555" s="5" t="s">
        <v>14</v>
      </c>
      <c r="K555" s="7">
        <v>69.42</v>
      </c>
      <c r="L555" s="8">
        <v>39</v>
      </c>
      <c r="M555" s="9"/>
    </row>
    <row r="556" s="1" customFormat="1" ht="20.1" customHeight="1" spans="1:13">
      <c r="A556" s="4" t="str">
        <f>"37502022022713311620171"</f>
        <v>37502022022713311620171</v>
      </c>
      <c r="B556" s="4" t="s">
        <v>526</v>
      </c>
      <c r="C556" s="4" t="s">
        <v>564</v>
      </c>
      <c r="D556" s="4" t="str">
        <f>"20220071918"</f>
        <v>20220071918</v>
      </c>
      <c r="E556" s="4" t="str">
        <f t="shared" si="106"/>
        <v>19</v>
      </c>
      <c r="F556" s="4" t="str">
        <f>"18"</f>
        <v>18</v>
      </c>
      <c r="G556" s="5">
        <v>69.17</v>
      </c>
      <c r="H556" s="5" t="s">
        <v>14</v>
      </c>
      <c r="I556" s="5">
        <v>69.2</v>
      </c>
      <c r="J556" s="5" t="s">
        <v>14</v>
      </c>
      <c r="K556" s="7">
        <v>69.19</v>
      </c>
      <c r="L556" s="8">
        <v>40</v>
      </c>
      <c r="M556" s="9"/>
    </row>
    <row r="557" s="1" customFormat="1" ht="20.1" customHeight="1" spans="1:13">
      <c r="A557" s="4" t="str">
        <f>"37502022022612083319058"</f>
        <v>37502022022612083319058</v>
      </c>
      <c r="B557" s="4" t="s">
        <v>526</v>
      </c>
      <c r="C557" s="4" t="s">
        <v>565</v>
      </c>
      <c r="D557" s="4" t="str">
        <f>"20220071823"</f>
        <v>20220071823</v>
      </c>
      <c r="E557" s="4" t="str">
        <f t="shared" si="105"/>
        <v>18</v>
      </c>
      <c r="F557" s="4" t="str">
        <f>"23"</f>
        <v>23</v>
      </c>
      <c r="G557" s="5">
        <v>68.43</v>
      </c>
      <c r="H557" s="5" t="s">
        <v>14</v>
      </c>
      <c r="I557" s="5">
        <v>69.4</v>
      </c>
      <c r="J557" s="5" t="s">
        <v>14</v>
      </c>
      <c r="K557" s="7">
        <v>69.11</v>
      </c>
      <c r="L557" s="8">
        <v>41</v>
      </c>
      <c r="M557" s="9"/>
    </row>
    <row r="558" s="1" customFormat="1" ht="20.1" customHeight="1" spans="1:13">
      <c r="A558" s="4" t="str">
        <f>"37502022030212250125199"</f>
        <v>37502022030212250125199</v>
      </c>
      <c r="B558" s="4" t="s">
        <v>526</v>
      </c>
      <c r="C558" s="4" t="s">
        <v>566</v>
      </c>
      <c r="D558" s="4" t="str">
        <f>"20220071902"</f>
        <v>20220071902</v>
      </c>
      <c r="E558" s="4" t="str">
        <f t="shared" si="106"/>
        <v>19</v>
      </c>
      <c r="F558" s="4" t="str">
        <f>"02"</f>
        <v>02</v>
      </c>
      <c r="G558" s="5">
        <v>65.71</v>
      </c>
      <c r="H558" s="5" t="s">
        <v>14</v>
      </c>
      <c r="I558" s="5">
        <v>70.5</v>
      </c>
      <c r="J558" s="5" t="s">
        <v>14</v>
      </c>
      <c r="K558" s="7">
        <v>69.06</v>
      </c>
      <c r="L558" s="8">
        <v>42</v>
      </c>
      <c r="M558" s="9"/>
    </row>
    <row r="559" s="1" customFormat="1" ht="20.1" customHeight="1" spans="1:13">
      <c r="A559" s="4" t="str">
        <f>"37502022022810215221600"</f>
        <v>37502022022810215221600</v>
      </c>
      <c r="B559" s="4" t="s">
        <v>526</v>
      </c>
      <c r="C559" s="4" t="s">
        <v>567</v>
      </c>
      <c r="D559" s="4" t="str">
        <f>"20220072020"</f>
        <v>20220072020</v>
      </c>
      <c r="E559" s="4" t="str">
        <f>"20"</f>
        <v>20</v>
      </c>
      <c r="F559" s="4" t="str">
        <f>"20"</f>
        <v>20</v>
      </c>
      <c r="G559" s="5">
        <v>68.99</v>
      </c>
      <c r="H559" s="5" t="s">
        <v>14</v>
      </c>
      <c r="I559" s="5">
        <v>68.8</v>
      </c>
      <c r="J559" s="5" t="s">
        <v>14</v>
      </c>
      <c r="K559" s="7">
        <v>68.86</v>
      </c>
      <c r="L559" s="8">
        <v>43</v>
      </c>
      <c r="M559" s="9"/>
    </row>
    <row r="560" s="1" customFormat="1" ht="20.1" customHeight="1" spans="1:13">
      <c r="A560" s="4" t="str">
        <f>"37502022022718525720610"</f>
        <v>37502022022718525720610</v>
      </c>
      <c r="B560" s="4" t="s">
        <v>526</v>
      </c>
      <c r="C560" s="4" t="s">
        <v>568</v>
      </c>
      <c r="D560" s="4" t="str">
        <f>"20220071928"</f>
        <v>20220071928</v>
      </c>
      <c r="E560" s="4" t="str">
        <f>"19"</f>
        <v>19</v>
      </c>
      <c r="F560" s="4" t="str">
        <f>"28"</f>
        <v>28</v>
      </c>
      <c r="G560" s="5">
        <v>70.13</v>
      </c>
      <c r="H560" s="5" t="s">
        <v>14</v>
      </c>
      <c r="I560" s="5">
        <v>67.6</v>
      </c>
      <c r="J560" s="5" t="s">
        <v>14</v>
      </c>
      <c r="K560" s="7">
        <v>68.36</v>
      </c>
      <c r="L560" s="8">
        <v>44</v>
      </c>
      <c r="M560" s="9"/>
    </row>
    <row r="561" s="1" customFormat="1" ht="20.1" customHeight="1" spans="1:13">
      <c r="A561" s="4" t="str">
        <f>"37502022030220572925968"</f>
        <v>37502022030220572925968</v>
      </c>
      <c r="B561" s="4" t="s">
        <v>526</v>
      </c>
      <c r="C561" s="4" t="s">
        <v>569</v>
      </c>
      <c r="D561" s="4" t="str">
        <f>"20220071827"</f>
        <v>20220071827</v>
      </c>
      <c r="E561" s="4" t="str">
        <f>"18"</f>
        <v>18</v>
      </c>
      <c r="F561" s="4" t="str">
        <f>"27"</f>
        <v>27</v>
      </c>
      <c r="G561" s="5">
        <v>68.12</v>
      </c>
      <c r="H561" s="5" t="s">
        <v>14</v>
      </c>
      <c r="I561" s="5">
        <v>66.8</v>
      </c>
      <c r="J561" s="5" t="s">
        <v>14</v>
      </c>
      <c r="K561" s="7">
        <v>67.2</v>
      </c>
      <c r="L561" s="8">
        <v>45</v>
      </c>
      <c r="M561" s="9"/>
    </row>
    <row r="562" s="1" customFormat="1" ht="20.1" customHeight="1" spans="1:13">
      <c r="A562" s="4" t="str">
        <f>"37502022030221354726028"</f>
        <v>37502022030221354726028</v>
      </c>
      <c r="B562" s="4" t="s">
        <v>526</v>
      </c>
      <c r="C562" s="4" t="s">
        <v>570</v>
      </c>
      <c r="D562" s="4" t="str">
        <f>"20220071923"</f>
        <v>20220071923</v>
      </c>
      <c r="E562" s="4" t="str">
        <f>"19"</f>
        <v>19</v>
      </c>
      <c r="F562" s="4" t="str">
        <f>"23"</f>
        <v>23</v>
      </c>
      <c r="G562" s="5">
        <v>68.41</v>
      </c>
      <c r="H562" s="5" t="s">
        <v>14</v>
      </c>
      <c r="I562" s="5">
        <v>66.6</v>
      </c>
      <c r="J562" s="5" t="s">
        <v>14</v>
      </c>
      <c r="K562" s="7">
        <v>67.14</v>
      </c>
      <c r="L562" s="8">
        <v>46</v>
      </c>
      <c r="M562" s="9"/>
    </row>
    <row r="563" s="1" customFormat="1" ht="20.1" customHeight="1" spans="1:13">
      <c r="A563" s="4" t="str">
        <f>"37502022030110423623432"</f>
        <v>37502022030110423623432</v>
      </c>
      <c r="B563" s="4" t="s">
        <v>526</v>
      </c>
      <c r="C563" s="4" t="s">
        <v>571</v>
      </c>
      <c r="D563" s="4" t="str">
        <f>"20220071821"</f>
        <v>20220071821</v>
      </c>
      <c r="E563" s="4" t="str">
        <f>"18"</f>
        <v>18</v>
      </c>
      <c r="F563" s="4" t="str">
        <f>"21"</f>
        <v>21</v>
      </c>
      <c r="G563" s="5">
        <v>64.37</v>
      </c>
      <c r="H563" s="5" t="s">
        <v>14</v>
      </c>
      <c r="I563" s="5">
        <v>65.5</v>
      </c>
      <c r="J563" s="5" t="s">
        <v>14</v>
      </c>
      <c r="K563" s="7">
        <v>65.16</v>
      </c>
      <c r="L563" s="8">
        <v>47</v>
      </c>
      <c r="M563" s="9"/>
    </row>
    <row r="564" s="1" customFormat="1" ht="20.1" customHeight="1" spans="1:13">
      <c r="A564" s="4" t="str">
        <f>"37502022030211275725127"</f>
        <v>37502022030211275725127</v>
      </c>
      <c r="B564" s="4" t="s">
        <v>526</v>
      </c>
      <c r="C564" s="4" t="s">
        <v>572</v>
      </c>
      <c r="D564" s="4" t="str">
        <f>"20220072003"</f>
        <v>20220072003</v>
      </c>
      <c r="E564" s="4" t="str">
        <f t="shared" ref="E564:E567" si="107">"20"</f>
        <v>20</v>
      </c>
      <c r="F564" s="4" t="str">
        <f>"03"</f>
        <v>03</v>
      </c>
      <c r="G564" s="5">
        <v>68.03</v>
      </c>
      <c r="H564" s="5" t="s">
        <v>14</v>
      </c>
      <c r="I564" s="5">
        <v>63.7</v>
      </c>
      <c r="J564" s="5" t="s">
        <v>14</v>
      </c>
      <c r="K564" s="7">
        <v>65</v>
      </c>
      <c r="L564" s="8">
        <v>48</v>
      </c>
      <c r="M564" s="9"/>
    </row>
    <row r="565" s="1" customFormat="1" ht="20.1" customHeight="1" spans="1:13">
      <c r="A565" s="4" t="str">
        <f>"37502022030210400525044"</f>
        <v>37502022030210400525044</v>
      </c>
      <c r="B565" s="4" t="s">
        <v>526</v>
      </c>
      <c r="C565" s="4" t="s">
        <v>573</v>
      </c>
      <c r="D565" s="4" t="str">
        <f>"20220072015"</f>
        <v>20220072015</v>
      </c>
      <c r="E565" s="4" t="str">
        <f t="shared" si="107"/>
        <v>20</v>
      </c>
      <c r="F565" s="4" t="str">
        <f>"15"</f>
        <v>15</v>
      </c>
      <c r="G565" s="5">
        <v>50.98</v>
      </c>
      <c r="H565" s="5" t="s">
        <v>14</v>
      </c>
      <c r="I565" s="5">
        <v>70.9</v>
      </c>
      <c r="J565" s="5" t="s">
        <v>14</v>
      </c>
      <c r="K565" s="7">
        <v>64.92</v>
      </c>
      <c r="L565" s="8">
        <v>49</v>
      </c>
      <c r="M565" s="9"/>
    </row>
    <row r="566" s="1" customFormat="1" ht="20.1" customHeight="1" spans="1:13">
      <c r="A566" s="4" t="str">
        <f>"37502022022810054421557"</f>
        <v>37502022022810054421557</v>
      </c>
      <c r="B566" s="4" t="s">
        <v>526</v>
      </c>
      <c r="C566" s="4" t="s">
        <v>574</v>
      </c>
      <c r="D566" s="4" t="str">
        <f>"20220072022"</f>
        <v>20220072022</v>
      </c>
      <c r="E566" s="4" t="str">
        <f t="shared" si="107"/>
        <v>20</v>
      </c>
      <c r="F566" s="4" t="str">
        <f>"22"</f>
        <v>22</v>
      </c>
      <c r="G566" s="5">
        <v>62.68</v>
      </c>
      <c r="H566" s="5" t="s">
        <v>14</v>
      </c>
      <c r="I566" s="5">
        <v>65.1</v>
      </c>
      <c r="J566" s="5" t="s">
        <v>14</v>
      </c>
      <c r="K566" s="7">
        <v>64.37</v>
      </c>
      <c r="L566" s="8">
        <v>50</v>
      </c>
      <c r="M566" s="9"/>
    </row>
    <row r="567" s="1" customFormat="1" ht="20.1" customHeight="1" spans="1:13">
      <c r="A567" s="4" t="str">
        <f>"37502022022610333918933"</f>
        <v>37502022022610333918933</v>
      </c>
      <c r="B567" s="4" t="s">
        <v>526</v>
      </c>
      <c r="C567" s="4" t="s">
        <v>575</v>
      </c>
      <c r="D567" s="4" t="str">
        <f>"20220072023"</f>
        <v>20220072023</v>
      </c>
      <c r="E567" s="4" t="str">
        <f t="shared" si="107"/>
        <v>20</v>
      </c>
      <c r="F567" s="4" t="str">
        <f>"23"</f>
        <v>23</v>
      </c>
      <c r="G567" s="5">
        <v>59.34</v>
      </c>
      <c r="H567" s="5" t="s">
        <v>14</v>
      </c>
      <c r="I567" s="5">
        <v>65.3</v>
      </c>
      <c r="J567" s="5" t="s">
        <v>14</v>
      </c>
      <c r="K567" s="7">
        <v>63.51</v>
      </c>
      <c r="L567" s="8">
        <v>51</v>
      </c>
      <c r="M567" s="9"/>
    </row>
    <row r="568" s="1" customFormat="1" ht="20.1" customHeight="1" spans="1:13">
      <c r="A568" s="4" t="str">
        <f>"37502022022718104420568"</f>
        <v>37502022022718104420568</v>
      </c>
      <c r="B568" s="4" t="s">
        <v>526</v>
      </c>
      <c r="C568" s="4" t="s">
        <v>576</v>
      </c>
      <c r="D568" s="4" t="str">
        <f>"20220071906"</f>
        <v>20220071906</v>
      </c>
      <c r="E568" s="4" t="str">
        <f>"19"</f>
        <v>19</v>
      </c>
      <c r="F568" s="4" t="str">
        <f>"06"</f>
        <v>06</v>
      </c>
      <c r="G568" s="5">
        <v>61.56</v>
      </c>
      <c r="H568" s="5" t="s">
        <v>14</v>
      </c>
      <c r="I568" s="5">
        <v>63.1</v>
      </c>
      <c r="J568" s="5" t="s">
        <v>14</v>
      </c>
      <c r="K568" s="7">
        <v>62.64</v>
      </c>
      <c r="L568" s="8">
        <v>52</v>
      </c>
      <c r="M568" s="9"/>
    </row>
    <row r="569" s="1" customFormat="1" ht="20.1" customHeight="1" spans="1:13">
      <c r="A569" s="4" t="str">
        <f>"37502022022814421422315"</f>
        <v>37502022022814421422315</v>
      </c>
      <c r="B569" s="4" t="s">
        <v>526</v>
      </c>
      <c r="C569" s="4" t="s">
        <v>577</v>
      </c>
      <c r="D569" s="4" t="str">
        <f>"20220072012"</f>
        <v>20220072012</v>
      </c>
      <c r="E569" s="4" t="str">
        <f t="shared" ref="E569:E572" si="108">"20"</f>
        <v>20</v>
      </c>
      <c r="F569" s="4" t="str">
        <f>"12"</f>
        <v>12</v>
      </c>
      <c r="G569" s="5">
        <v>62.63</v>
      </c>
      <c r="H569" s="5" t="s">
        <v>14</v>
      </c>
      <c r="I569" s="5">
        <v>62.4</v>
      </c>
      <c r="J569" s="5" t="s">
        <v>14</v>
      </c>
      <c r="K569" s="7">
        <v>62.47</v>
      </c>
      <c r="L569" s="8">
        <v>53</v>
      </c>
      <c r="M569" s="9"/>
    </row>
    <row r="570" s="1" customFormat="1" ht="20.1" customHeight="1" spans="1:13">
      <c r="A570" s="4" t="str">
        <f>"37502022030217571725668"</f>
        <v>37502022030217571725668</v>
      </c>
      <c r="B570" s="4" t="s">
        <v>526</v>
      </c>
      <c r="C570" s="4" t="s">
        <v>578</v>
      </c>
      <c r="D570" s="4" t="str">
        <f>"20220072016"</f>
        <v>20220072016</v>
      </c>
      <c r="E570" s="4" t="str">
        <f t="shared" si="108"/>
        <v>20</v>
      </c>
      <c r="F570" s="4" t="str">
        <f>"16"</f>
        <v>16</v>
      </c>
      <c r="G570" s="5">
        <v>63.69</v>
      </c>
      <c r="H570" s="5" t="s">
        <v>14</v>
      </c>
      <c r="I570" s="5">
        <v>59.7</v>
      </c>
      <c r="J570" s="5" t="s">
        <v>14</v>
      </c>
      <c r="K570" s="7">
        <v>60.9</v>
      </c>
      <c r="L570" s="8">
        <v>54</v>
      </c>
      <c r="M570" s="9"/>
    </row>
    <row r="571" s="1" customFormat="1" ht="20.1" customHeight="1" spans="1:13">
      <c r="A571" s="4" t="str">
        <f>"37502022022714205020244"</f>
        <v>37502022022714205020244</v>
      </c>
      <c r="B571" s="4" t="s">
        <v>526</v>
      </c>
      <c r="C571" s="4" t="s">
        <v>579</v>
      </c>
      <c r="D571" s="4" t="str">
        <f>"20220072004"</f>
        <v>20220072004</v>
      </c>
      <c r="E571" s="4" t="str">
        <f t="shared" si="108"/>
        <v>20</v>
      </c>
      <c r="F571" s="4" t="str">
        <f>"04"</f>
        <v>04</v>
      </c>
      <c r="G571" s="5">
        <v>57.18</v>
      </c>
      <c r="H571" s="5" t="s">
        <v>14</v>
      </c>
      <c r="I571" s="5">
        <v>62.2</v>
      </c>
      <c r="J571" s="5" t="s">
        <v>14</v>
      </c>
      <c r="K571" s="7">
        <v>60.69</v>
      </c>
      <c r="L571" s="8">
        <v>55</v>
      </c>
      <c r="M571" s="9"/>
    </row>
    <row r="572" s="1" customFormat="1" ht="20.1" customHeight="1" spans="1:13">
      <c r="A572" s="4" t="str">
        <f>"37502022022609394218754"</f>
        <v>37502022022609394218754</v>
      </c>
      <c r="B572" s="4" t="s">
        <v>526</v>
      </c>
      <c r="C572" s="4" t="s">
        <v>580</v>
      </c>
      <c r="D572" s="4" t="str">
        <f>"20220072014"</f>
        <v>20220072014</v>
      </c>
      <c r="E572" s="4" t="str">
        <f t="shared" si="108"/>
        <v>20</v>
      </c>
      <c r="F572" s="4" t="str">
        <f>"14"</f>
        <v>14</v>
      </c>
      <c r="G572" s="5">
        <v>0</v>
      </c>
      <c r="H572" s="5" t="s">
        <v>74</v>
      </c>
      <c r="I572" s="5">
        <v>0</v>
      </c>
      <c r="J572" s="5" t="s">
        <v>74</v>
      </c>
      <c r="K572" s="7">
        <v>0</v>
      </c>
      <c r="L572" s="8">
        <v>56</v>
      </c>
      <c r="M572" s="9"/>
    </row>
    <row r="573" s="1" customFormat="1" ht="20.1" customHeight="1" spans="1:13">
      <c r="A573" s="4" t="str">
        <f>"37502022022609401518758"</f>
        <v>37502022022609401518758</v>
      </c>
      <c r="B573" s="4" t="s">
        <v>526</v>
      </c>
      <c r="C573" s="4" t="s">
        <v>581</v>
      </c>
      <c r="D573" s="4" t="str">
        <f>"20220071826"</f>
        <v>20220071826</v>
      </c>
      <c r="E573" s="4" t="str">
        <f t="shared" ref="E573:E576" si="109">"18"</f>
        <v>18</v>
      </c>
      <c r="F573" s="4" t="str">
        <f>"26"</f>
        <v>26</v>
      </c>
      <c r="G573" s="5">
        <v>0</v>
      </c>
      <c r="H573" s="5" t="s">
        <v>74</v>
      </c>
      <c r="I573" s="5">
        <v>0</v>
      </c>
      <c r="J573" s="5" t="s">
        <v>74</v>
      </c>
      <c r="K573" s="7">
        <v>0</v>
      </c>
      <c r="L573" s="8">
        <v>56</v>
      </c>
      <c r="M573" s="9"/>
    </row>
    <row r="574" s="1" customFormat="1" ht="20.1" customHeight="1" spans="1:13">
      <c r="A574" s="4" t="str">
        <f>"37502022022610192318899"</f>
        <v>37502022022610192318899</v>
      </c>
      <c r="B574" s="4" t="s">
        <v>526</v>
      </c>
      <c r="C574" s="4" t="s">
        <v>582</v>
      </c>
      <c r="D574" s="4" t="str">
        <f>"20220071807"</f>
        <v>20220071807</v>
      </c>
      <c r="E574" s="4" t="str">
        <f t="shared" si="109"/>
        <v>18</v>
      </c>
      <c r="F574" s="4" t="str">
        <f>"07"</f>
        <v>07</v>
      </c>
      <c r="G574" s="5">
        <v>0</v>
      </c>
      <c r="H574" s="5" t="s">
        <v>74</v>
      </c>
      <c r="I574" s="5">
        <v>0</v>
      </c>
      <c r="J574" s="5" t="s">
        <v>74</v>
      </c>
      <c r="K574" s="7">
        <v>0</v>
      </c>
      <c r="L574" s="8">
        <v>56</v>
      </c>
      <c r="M574" s="9"/>
    </row>
    <row r="575" s="1" customFormat="1" ht="20.1" customHeight="1" spans="1:13">
      <c r="A575" s="4" t="str">
        <f>"37502022022610305818928"</f>
        <v>37502022022610305818928</v>
      </c>
      <c r="B575" s="4" t="s">
        <v>526</v>
      </c>
      <c r="C575" s="4" t="s">
        <v>583</v>
      </c>
      <c r="D575" s="4" t="str">
        <f>"20220071922"</f>
        <v>20220071922</v>
      </c>
      <c r="E575" s="4" t="str">
        <f>"19"</f>
        <v>19</v>
      </c>
      <c r="F575" s="4" t="str">
        <f>"22"</f>
        <v>22</v>
      </c>
      <c r="G575" s="5">
        <v>0</v>
      </c>
      <c r="H575" s="5" t="s">
        <v>74</v>
      </c>
      <c r="I575" s="5">
        <v>0</v>
      </c>
      <c r="J575" s="5" t="s">
        <v>74</v>
      </c>
      <c r="K575" s="7">
        <v>0</v>
      </c>
      <c r="L575" s="8">
        <v>56</v>
      </c>
      <c r="M575" s="9"/>
    </row>
    <row r="576" s="1" customFormat="1" ht="20.1" customHeight="1" spans="1:13">
      <c r="A576" s="4" t="str">
        <f>"37502022022611465719036"</f>
        <v>37502022022611465719036</v>
      </c>
      <c r="B576" s="4" t="s">
        <v>526</v>
      </c>
      <c r="C576" s="4" t="s">
        <v>584</v>
      </c>
      <c r="D576" s="4" t="str">
        <f>"20220071830"</f>
        <v>20220071830</v>
      </c>
      <c r="E576" s="4" t="str">
        <f t="shared" si="109"/>
        <v>18</v>
      </c>
      <c r="F576" s="4" t="str">
        <f>"30"</f>
        <v>30</v>
      </c>
      <c r="G576" s="5">
        <v>0</v>
      </c>
      <c r="H576" s="5" t="s">
        <v>74</v>
      </c>
      <c r="I576" s="5">
        <v>0</v>
      </c>
      <c r="J576" s="5" t="s">
        <v>74</v>
      </c>
      <c r="K576" s="7">
        <v>0</v>
      </c>
      <c r="L576" s="8">
        <v>56</v>
      </c>
      <c r="M576" s="9"/>
    </row>
    <row r="577" s="1" customFormat="1" ht="20.1" customHeight="1" spans="1:13">
      <c r="A577" s="4" t="str">
        <f>"37502022022613182719152"</f>
        <v>37502022022613182719152</v>
      </c>
      <c r="B577" s="4" t="s">
        <v>526</v>
      </c>
      <c r="C577" s="4" t="s">
        <v>315</v>
      </c>
      <c r="D577" s="4" t="str">
        <f>"20220071905"</f>
        <v>20220071905</v>
      </c>
      <c r="E577" s="4" t="str">
        <f t="shared" ref="E577:E582" si="110">"19"</f>
        <v>19</v>
      </c>
      <c r="F577" s="4" t="str">
        <f>"05"</f>
        <v>05</v>
      </c>
      <c r="G577" s="5">
        <v>0</v>
      </c>
      <c r="H577" s="5" t="s">
        <v>74</v>
      </c>
      <c r="I577" s="5">
        <v>0</v>
      </c>
      <c r="J577" s="5" t="s">
        <v>74</v>
      </c>
      <c r="K577" s="7">
        <v>0</v>
      </c>
      <c r="L577" s="8">
        <v>56</v>
      </c>
      <c r="M577" s="9"/>
    </row>
    <row r="578" s="1" customFormat="1" ht="20.1" customHeight="1" spans="1:13">
      <c r="A578" s="4" t="str">
        <f>"37502022022617323319457"</f>
        <v>37502022022617323319457</v>
      </c>
      <c r="B578" s="4" t="s">
        <v>526</v>
      </c>
      <c r="C578" s="4" t="s">
        <v>585</v>
      </c>
      <c r="D578" s="4" t="str">
        <f>"20220072010"</f>
        <v>20220072010</v>
      </c>
      <c r="E578" s="4" t="str">
        <f t="shared" ref="E578:E584" si="111">"20"</f>
        <v>20</v>
      </c>
      <c r="F578" s="4" t="str">
        <f>"10"</f>
        <v>10</v>
      </c>
      <c r="G578" s="5">
        <v>0</v>
      </c>
      <c r="H578" s="5" t="s">
        <v>74</v>
      </c>
      <c r="I578" s="5">
        <v>0</v>
      </c>
      <c r="J578" s="5" t="s">
        <v>74</v>
      </c>
      <c r="K578" s="7">
        <v>0</v>
      </c>
      <c r="L578" s="8">
        <v>56</v>
      </c>
      <c r="M578" s="9"/>
    </row>
    <row r="579" s="1" customFormat="1" ht="20.1" customHeight="1" spans="1:13">
      <c r="A579" s="4" t="str">
        <f>"37502022022620194719608"</f>
        <v>37502022022620194719608</v>
      </c>
      <c r="B579" s="4" t="s">
        <v>526</v>
      </c>
      <c r="C579" s="4" t="s">
        <v>586</v>
      </c>
      <c r="D579" s="4" t="str">
        <f>"20220071829"</f>
        <v>20220071829</v>
      </c>
      <c r="E579" s="4" t="str">
        <f>"18"</f>
        <v>18</v>
      </c>
      <c r="F579" s="4" t="str">
        <f>"29"</f>
        <v>29</v>
      </c>
      <c r="G579" s="5">
        <v>0</v>
      </c>
      <c r="H579" s="5" t="s">
        <v>74</v>
      </c>
      <c r="I579" s="5">
        <v>0</v>
      </c>
      <c r="J579" s="5" t="s">
        <v>74</v>
      </c>
      <c r="K579" s="7">
        <v>0</v>
      </c>
      <c r="L579" s="8">
        <v>56</v>
      </c>
      <c r="M579" s="9"/>
    </row>
    <row r="580" s="1" customFormat="1" ht="20.1" customHeight="1" spans="1:13">
      <c r="A580" s="4" t="str">
        <f>"37502022022620340719622"</f>
        <v>37502022022620340719622</v>
      </c>
      <c r="B580" s="4" t="s">
        <v>526</v>
      </c>
      <c r="C580" s="4" t="s">
        <v>587</v>
      </c>
      <c r="D580" s="4" t="str">
        <f>"20220072021"</f>
        <v>20220072021</v>
      </c>
      <c r="E580" s="4" t="str">
        <f t="shared" si="111"/>
        <v>20</v>
      </c>
      <c r="F580" s="4" t="str">
        <f>"21"</f>
        <v>21</v>
      </c>
      <c r="G580" s="5">
        <v>0</v>
      </c>
      <c r="H580" s="5" t="s">
        <v>74</v>
      </c>
      <c r="I580" s="5">
        <v>0</v>
      </c>
      <c r="J580" s="5" t="s">
        <v>74</v>
      </c>
      <c r="K580" s="7">
        <v>0</v>
      </c>
      <c r="L580" s="8">
        <v>56</v>
      </c>
      <c r="M580" s="9"/>
    </row>
    <row r="581" s="1" customFormat="1" ht="20.1" customHeight="1" spans="1:13">
      <c r="A581" s="4" t="str">
        <f>"37502022022621413919705"</f>
        <v>37502022022621413919705</v>
      </c>
      <c r="B581" s="4" t="s">
        <v>526</v>
      </c>
      <c r="C581" s="4" t="s">
        <v>588</v>
      </c>
      <c r="D581" s="4" t="str">
        <f>"20220071913"</f>
        <v>20220071913</v>
      </c>
      <c r="E581" s="4" t="str">
        <f t="shared" si="110"/>
        <v>19</v>
      </c>
      <c r="F581" s="4" t="str">
        <f>"13"</f>
        <v>13</v>
      </c>
      <c r="G581" s="5">
        <v>0</v>
      </c>
      <c r="H581" s="5" t="s">
        <v>74</v>
      </c>
      <c r="I581" s="5">
        <v>0</v>
      </c>
      <c r="J581" s="5" t="s">
        <v>74</v>
      </c>
      <c r="K581" s="7">
        <v>0</v>
      </c>
      <c r="L581" s="8">
        <v>56</v>
      </c>
      <c r="M581" s="9"/>
    </row>
    <row r="582" s="1" customFormat="1" ht="20.1" customHeight="1" spans="1:13">
      <c r="A582" s="4" t="str">
        <f>"37502022022712434620114"</f>
        <v>37502022022712434620114</v>
      </c>
      <c r="B582" s="4" t="s">
        <v>526</v>
      </c>
      <c r="C582" s="4" t="s">
        <v>589</v>
      </c>
      <c r="D582" s="4" t="str">
        <f>"20220071930"</f>
        <v>20220071930</v>
      </c>
      <c r="E582" s="4" t="str">
        <f t="shared" si="110"/>
        <v>19</v>
      </c>
      <c r="F582" s="4" t="str">
        <f>"30"</f>
        <v>30</v>
      </c>
      <c r="G582" s="5">
        <v>0</v>
      </c>
      <c r="H582" s="5" t="s">
        <v>74</v>
      </c>
      <c r="I582" s="5">
        <v>0</v>
      </c>
      <c r="J582" s="5" t="s">
        <v>74</v>
      </c>
      <c r="K582" s="7">
        <v>0</v>
      </c>
      <c r="L582" s="8">
        <v>56</v>
      </c>
      <c r="M582" s="9"/>
    </row>
    <row r="583" s="1" customFormat="1" ht="20.1" customHeight="1" spans="1:13">
      <c r="A583" s="4" t="str">
        <f>"37502022022720295020812"</f>
        <v>37502022022720295020812</v>
      </c>
      <c r="B583" s="4" t="s">
        <v>526</v>
      </c>
      <c r="C583" s="4" t="s">
        <v>590</v>
      </c>
      <c r="D583" s="4" t="str">
        <f>"20220072009"</f>
        <v>20220072009</v>
      </c>
      <c r="E583" s="4" t="str">
        <f t="shared" si="111"/>
        <v>20</v>
      </c>
      <c r="F583" s="4" t="str">
        <f>"09"</f>
        <v>09</v>
      </c>
      <c r="G583" s="5">
        <v>0</v>
      </c>
      <c r="H583" s="5" t="s">
        <v>74</v>
      </c>
      <c r="I583" s="5">
        <v>0</v>
      </c>
      <c r="J583" s="5" t="s">
        <v>74</v>
      </c>
      <c r="K583" s="7">
        <v>0</v>
      </c>
      <c r="L583" s="8">
        <v>56</v>
      </c>
      <c r="M583" s="9"/>
    </row>
    <row r="584" s="1" customFormat="1" ht="20.1" customHeight="1" spans="1:13">
      <c r="A584" s="4" t="str">
        <f>"37502022022720494320855"</f>
        <v>37502022022720494320855</v>
      </c>
      <c r="B584" s="4" t="s">
        <v>526</v>
      </c>
      <c r="C584" s="4" t="s">
        <v>591</v>
      </c>
      <c r="D584" s="4" t="str">
        <f>"20220072005"</f>
        <v>20220072005</v>
      </c>
      <c r="E584" s="4" t="str">
        <f t="shared" si="111"/>
        <v>20</v>
      </c>
      <c r="F584" s="4" t="str">
        <f>"05"</f>
        <v>05</v>
      </c>
      <c r="G584" s="5">
        <v>0</v>
      </c>
      <c r="H584" s="5" t="s">
        <v>74</v>
      </c>
      <c r="I584" s="5">
        <v>0</v>
      </c>
      <c r="J584" s="5" t="s">
        <v>74</v>
      </c>
      <c r="K584" s="7">
        <v>0</v>
      </c>
      <c r="L584" s="8">
        <v>56</v>
      </c>
      <c r="M584" s="9"/>
    </row>
    <row r="585" s="1" customFormat="1" ht="20.1" customHeight="1" spans="1:13">
      <c r="A585" s="4" t="str">
        <f>"37502022022721595321007"</f>
        <v>37502022022721595321007</v>
      </c>
      <c r="B585" s="4" t="s">
        <v>526</v>
      </c>
      <c r="C585" s="4" t="s">
        <v>592</v>
      </c>
      <c r="D585" s="4" t="str">
        <f>"20220071815"</f>
        <v>20220071815</v>
      </c>
      <c r="E585" s="4" t="str">
        <f t="shared" ref="E585:E590" si="112">"18"</f>
        <v>18</v>
      </c>
      <c r="F585" s="4" t="str">
        <f>"15"</f>
        <v>15</v>
      </c>
      <c r="G585" s="5">
        <v>0</v>
      </c>
      <c r="H585" s="5" t="s">
        <v>74</v>
      </c>
      <c r="I585" s="5">
        <v>0</v>
      </c>
      <c r="J585" s="5" t="s">
        <v>74</v>
      </c>
      <c r="K585" s="7">
        <v>0</v>
      </c>
      <c r="L585" s="8">
        <v>56</v>
      </c>
      <c r="M585" s="9"/>
    </row>
    <row r="586" s="1" customFormat="1" ht="20.1" customHeight="1" spans="1:13">
      <c r="A586" s="4" t="str">
        <f>"37502022022808340421332"</f>
        <v>37502022022808340421332</v>
      </c>
      <c r="B586" s="4" t="s">
        <v>526</v>
      </c>
      <c r="C586" s="4" t="s">
        <v>593</v>
      </c>
      <c r="D586" s="4" t="str">
        <f>"20220071929"</f>
        <v>20220071929</v>
      </c>
      <c r="E586" s="4" t="str">
        <f t="shared" ref="E586:E589" si="113">"19"</f>
        <v>19</v>
      </c>
      <c r="F586" s="4" t="str">
        <f>"29"</f>
        <v>29</v>
      </c>
      <c r="G586" s="5">
        <v>0</v>
      </c>
      <c r="H586" s="5" t="s">
        <v>74</v>
      </c>
      <c r="I586" s="5">
        <v>0</v>
      </c>
      <c r="J586" s="5" t="s">
        <v>74</v>
      </c>
      <c r="K586" s="7">
        <v>0</v>
      </c>
      <c r="L586" s="8">
        <v>56</v>
      </c>
      <c r="M586" s="9"/>
    </row>
    <row r="587" s="1" customFormat="1" ht="20.1" customHeight="1" spans="1:13">
      <c r="A587" s="4" t="str">
        <f>"37502022022817223722787"</f>
        <v>37502022022817223722787</v>
      </c>
      <c r="B587" s="4" t="s">
        <v>526</v>
      </c>
      <c r="C587" s="4" t="s">
        <v>594</v>
      </c>
      <c r="D587" s="4" t="str">
        <f>"20220071813"</f>
        <v>20220071813</v>
      </c>
      <c r="E587" s="4" t="str">
        <f t="shared" si="112"/>
        <v>18</v>
      </c>
      <c r="F587" s="4" t="str">
        <f>"13"</f>
        <v>13</v>
      </c>
      <c r="G587" s="5">
        <v>0</v>
      </c>
      <c r="H587" s="5" t="s">
        <v>74</v>
      </c>
      <c r="I587" s="5">
        <v>0</v>
      </c>
      <c r="J587" s="5" t="s">
        <v>74</v>
      </c>
      <c r="K587" s="7">
        <v>0</v>
      </c>
      <c r="L587" s="8">
        <v>56</v>
      </c>
      <c r="M587" s="9"/>
    </row>
    <row r="588" s="1" customFormat="1" ht="20.1" customHeight="1" spans="1:13">
      <c r="A588" s="4" t="str">
        <f>"37502022030111315223541"</f>
        <v>37502022030111315223541</v>
      </c>
      <c r="B588" s="4" t="s">
        <v>526</v>
      </c>
      <c r="C588" s="4" t="s">
        <v>595</v>
      </c>
      <c r="D588" s="4" t="str">
        <f>"20220071927"</f>
        <v>20220071927</v>
      </c>
      <c r="E588" s="4" t="str">
        <f t="shared" si="113"/>
        <v>19</v>
      </c>
      <c r="F588" s="4" t="str">
        <f>"27"</f>
        <v>27</v>
      </c>
      <c r="G588" s="5">
        <v>0</v>
      </c>
      <c r="H588" s="5" t="s">
        <v>74</v>
      </c>
      <c r="I588" s="5">
        <v>0</v>
      </c>
      <c r="J588" s="5" t="s">
        <v>74</v>
      </c>
      <c r="K588" s="7">
        <v>0</v>
      </c>
      <c r="L588" s="8">
        <v>56</v>
      </c>
      <c r="M588" s="9"/>
    </row>
    <row r="589" s="1" customFormat="1" ht="20.1" customHeight="1" spans="1:13">
      <c r="A589" s="4" t="str">
        <f>"37502022030114590623869"</f>
        <v>37502022030114590623869</v>
      </c>
      <c r="B589" s="4" t="s">
        <v>526</v>
      </c>
      <c r="C589" s="4" t="s">
        <v>596</v>
      </c>
      <c r="D589" s="4" t="str">
        <f>"20220071904"</f>
        <v>20220071904</v>
      </c>
      <c r="E589" s="4" t="str">
        <f t="shared" si="113"/>
        <v>19</v>
      </c>
      <c r="F589" s="4" t="str">
        <f>"04"</f>
        <v>04</v>
      </c>
      <c r="G589" s="5">
        <v>0</v>
      </c>
      <c r="H589" s="5" t="s">
        <v>74</v>
      </c>
      <c r="I589" s="5">
        <v>0</v>
      </c>
      <c r="J589" s="5" t="s">
        <v>74</v>
      </c>
      <c r="K589" s="7">
        <v>0</v>
      </c>
      <c r="L589" s="8">
        <v>56</v>
      </c>
      <c r="M589" s="9"/>
    </row>
    <row r="590" s="1" customFormat="1" ht="20.1" customHeight="1" spans="1:13">
      <c r="A590" s="4" t="str">
        <f>"37502022030118415824256"</f>
        <v>37502022030118415824256</v>
      </c>
      <c r="B590" s="4" t="s">
        <v>526</v>
      </c>
      <c r="C590" s="4" t="s">
        <v>597</v>
      </c>
      <c r="D590" s="4" t="str">
        <f>"20220071825"</f>
        <v>20220071825</v>
      </c>
      <c r="E590" s="4" t="str">
        <f t="shared" si="112"/>
        <v>18</v>
      </c>
      <c r="F590" s="4" t="str">
        <f>"25"</f>
        <v>25</v>
      </c>
      <c r="G590" s="5">
        <v>0</v>
      </c>
      <c r="H590" s="5" t="s">
        <v>74</v>
      </c>
      <c r="I590" s="5">
        <v>0</v>
      </c>
      <c r="J590" s="5" t="s">
        <v>74</v>
      </c>
      <c r="K590" s="7">
        <v>0</v>
      </c>
      <c r="L590" s="8">
        <v>56</v>
      </c>
      <c r="M590" s="9"/>
    </row>
    <row r="591" s="1" customFormat="1" ht="20.1" customHeight="1" spans="1:13">
      <c r="A591" s="4" t="str">
        <f>"37502022030118534124277"</f>
        <v>37502022030118534124277</v>
      </c>
      <c r="B591" s="4" t="s">
        <v>526</v>
      </c>
      <c r="C591" s="4" t="s">
        <v>598</v>
      </c>
      <c r="D591" s="4" t="str">
        <f>"20220071901"</f>
        <v>20220071901</v>
      </c>
      <c r="E591" s="4" t="str">
        <f t="shared" ref="E591:E595" si="114">"19"</f>
        <v>19</v>
      </c>
      <c r="F591" s="4" t="str">
        <f>"01"</f>
        <v>01</v>
      </c>
      <c r="G591" s="5">
        <v>0</v>
      </c>
      <c r="H591" s="5" t="s">
        <v>74</v>
      </c>
      <c r="I591" s="5">
        <v>0</v>
      </c>
      <c r="J591" s="5" t="s">
        <v>74</v>
      </c>
      <c r="K591" s="7">
        <v>0</v>
      </c>
      <c r="L591" s="8">
        <v>56</v>
      </c>
      <c r="M591" s="9"/>
    </row>
    <row r="592" s="1" customFormat="1" ht="20.1" customHeight="1" spans="1:13">
      <c r="A592" s="4" t="str">
        <f>"37502022030208563924865"</f>
        <v>37502022030208563924865</v>
      </c>
      <c r="B592" s="4" t="s">
        <v>526</v>
      </c>
      <c r="C592" s="4" t="s">
        <v>599</v>
      </c>
      <c r="D592" s="4" t="str">
        <f>"20220072007"</f>
        <v>20220072007</v>
      </c>
      <c r="E592" s="4" t="str">
        <f>"20"</f>
        <v>20</v>
      </c>
      <c r="F592" s="4" t="str">
        <f>"07"</f>
        <v>07</v>
      </c>
      <c r="G592" s="5">
        <v>0</v>
      </c>
      <c r="H592" s="5" t="s">
        <v>74</v>
      </c>
      <c r="I592" s="5">
        <v>0</v>
      </c>
      <c r="J592" s="5" t="s">
        <v>74</v>
      </c>
      <c r="K592" s="7">
        <v>0</v>
      </c>
      <c r="L592" s="8">
        <v>56</v>
      </c>
      <c r="M592" s="9"/>
    </row>
    <row r="593" s="1" customFormat="1" ht="20.1" customHeight="1" spans="1:13">
      <c r="A593" s="4" t="str">
        <f>"37502022030210341825030"</f>
        <v>37502022030210341825030</v>
      </c>
      <c r="B593" s="4" t="s">
        <v>526</v>
      </c>
      <c r="C593" s="4" t="s">
        <v>600</v>
      </c>
      <c r="D593" s="4" t="str">
        <f>"20220071915"</f>
        <v>20220071915</v>
      </c>
      <c r="E593" s="4" t="str">
        <f t="shared" si="114"/>
        <v>19</v>
      </c>
      <c r="F593" s="4" t="str">
        <f>"15"</f>
        <v>15</v>
      </c>
      <c r="G593" s="5">
        <v>0</v>
      </c>
      <c r="H593" s="5" t="s">
        <v>74</v>
      </c>
      <c r="I593" s="5">
        <v>0</v>
      </c>
      <c r="J593" s="5" t="s">
        <v>74</v>
      </c>
      <c r="K593" s="7">
        <v>0</v>
      </c>
      <c r="L593" s="8">
        <v>56</v>
      </c>
      <c r="M593" s="9"/>
    </row>
    <row r="594" s="1" customFormat="1" ht="20.1" customHeight="1" spans="1:13">
      <c r="A594" s="4" t="str">
        <f>"37502022030214250425386"</f>
        <v>37502022030214250425386</v>
      </c>
      <c r="B594" s="4" t="s">
        <v>526</v>
      </c>
      <c r="C594" s="4" t="s">
        <v>601</v>
      </c>
      <c r="D594" s="4" t="str">
        <f>"20220072019"</f>
        <v>20220072019</v>
      </c>
      <c r="E594" s="4" t="str">
        <f>"20"</f>
        <v>20</v>
      </c>
      <c r="F594" s="4" t="str">
        <f>"19"</f>
        <v>19</v>
      </c>
      <c r="G594" s="5">
        <v>0</v>
      </c>
      <c r="H594" s="5" t="s">
        <v>74</v>
      </c>
      <c r="I594" s="5">
        <v>0</v>
      </c>
      <c r="J594" s="5" t="s">
        <v>74</v>
      </c>
      <c r="K594" s="7">
        <v>0</v>
      </c>
      <c r="L594" s="8">
        <v>56</v>
      </c>
      <c r="M594" s="9"/>
    </row>
    <row r="595" s="1" customFormat="1" ht="20.1" customHeight="1" spans="1:13">
      <c r="A595" s="4" t="str">
        <f>"37502022030221404026038"</f>
        <v>37502022030221404026038</v>
      </c>
      <c r="B595" s="4" t="s">
        <v>526</v>
      </c>
      <c r="C595" s="4" t="s">
        <v>602</v>
      </c>
      <c r="D595" s="4" t="str">
        <f>"20220071914"</f>
        <v>20220071914</v>
      </c>
      <c r="E595" s="4" t="str">
        <f t="shared" si="114"/>
        <v>19</v>
      </c>
      <c r="F595" s="4" t="str">
        <f>"14"</f>
        <v>14</v>
      </c>
      <c r="G595" s="5">
        <v>0</v>
      </c>
      <c r="H595" s="5" t="s">
        <v>74</v>
      </c>
      <c r="I595" s="5">
        <v>0</v>
      </c>
      <c r="J595" s="5" t="s">
        <v>74</v>
      </c>
      <c r="K595" s="7">
        <v>0</v>
      </c>
      <c r="L595" s="8">
        <v>56</v>
      </c>
      <c r="M595" s="9"/>
    </row>
    <row r="596" s="1" customFormat="1" ht="20.1" customHeight="1" spans="1:13">
      <c r="A596" s="4" t="str">
        <f>"37502022022811595821863"</f>
        <v>37502022022811595821863</v>
      </c>
      <c r="B596" s="4" t="s">
        <v>603</v>
      </c>
      <c r="C596" s="4" t="s">
        <v>604</v>
      </c>
      <c r="D596" s="4" t="str">
        <f>"20220082118"</f>
        <v>20220082118</v>
      </c>
      <c r="E596" s="4" t="str">
        <f t="shared" ref="E596:E601" si="115">"21"</f>
        <v>21</v>
      </c>
      <c r="F596" s="4" t="str">
        <f>"18"</f>
        <v>18</v>
      </c>
      <c r="G596" s="5">
        <v>74.01</v>
      </c>
      <c r="H596" s="5" t="s">
        <v>14</v>
      </c>
      <c r="I596" s="5">
        <v>81.5</v>
      </c>
      <c r="J596" s="5" t="s">
        <v>14</v>
      </c>
      <c r="K596" s="7">
        <v>79.25</v>
      </c>
      <c r="L596" s="8">
        <v>1</v>
      </c>
      <c r="M596" s="9"/>
    </row>
    <row r="597" s="1" customFormat="1" ht="20.1" customHeight="1" spans="1:13">
      <c r="A597" s="4" t="str">
        <f>"37502022030117362324142"</f>
        <v>37502022030117362324142</v>
      </c>
      <c r="B597" s="4" t="s">
        <v>603</v>
      </c>
      <c r="C597" s="4" t="s">
        <v>605</v>
      </c>
      <c r="D597" s="4" t="str">
        <f>"20220082126"</f>
        <v>20220082126</v>
      </c>
      <c r="E597" s="4" t="str">
        <f t="shared" si="115"/>
        <v>21</v>
      </c>
      <c r="F597" s="4" t="str">
        <f t="shared" ref="F597:F602" si="116">"26"</f>
        <v>26</v>
      </c>
      <c r="G597" s="5">
        <v>78.45</v>
      </c>
      <c r="H597" s="5" t="s">
        <v>14</v>
      </c>
      <c r="I597" s="5">
        <v>79.5</v>
      </c>
      <c r="J597" s="5" t="s">
        <v>14</v>
      </c>
      <c r="K597" s="7">
        <v>79.19</v>
      </c>
      <c r="L597" s="8">
        <v>2</v>
      </c>
      <c r="M597" s="9"/>
    </row>
    <row r="598" s="1" customFormat="1" ht="20.1" customHeight="1" spans="1:13">
      <c r="A598" s="4" t="str">
        <f>"37502022022609540818802"</f>
        <v>37502022022609540818802</v>
      </c>
      <c r="B598" s="4" t="s">
        <v>603</v>
      </c>
      <c r="C598" s="4" t="s">
        <v>606</v>
      </c>
      <c r="D598" s="4" t="str">
        <f>"20220082221"</f>
        <v>20220082221</v>
      </c>
      <c r="E598" s="4" t="str">
        <f t="shared" ref="E598:E600" si="117">"22"</f>
        <v>22</v>
      </c>
      <c r="F598" s="4" t="str">
        <f>"21"</f>
        <v>21</v>
      </c>
      <c r="G598" s="5">
        <v>80.07</v>
      </c>
      <c r="H598" s="5" t="s">
        <v>14</v>
      </c>
      <c r="I598" s="5">
        <v>78.3</v>
      </c>
      <c r="J598" s="5" t="s">
        <v>14</v>
      </c>
      <c r="K598" s="7">
        <v>78.83</v>
      </c>
      <c r="L598" s="8">
        <v>3</v>
      </c>
      <c r="M598" s="9"/>
    </row>
    <row r="599" s="1" customFormat="1" ht="20.1" customHeight="1" spans="1:13">
      <c r="A599" s="4" t="str">
        <f>"37502022022610165818886"</f>
        <v>37502022022610165818886</v>
      </c>
      <c r="B599" s="4" t="s">
        <v>603</v>
      </c>
      <c r="C599" s="4" t="s">
        <v>607</v>
      </c>
      <c r="D599" s="4" t="str">
        <f>"20220082219"</f>
        <v>20220082219</v>
      </c>
      <c r="E599" s="4" t="str">
        <f t="shared" si="117"/>
        <v>22</v>
      </c>
      <c r="F599" s="4" t="str">
        <f>"19"</f>
        <v>19</v>
      </c>
      <c r="G599" s="5">
        <v>74.81</v>
      </c>
      <c r="H599" s="5" t="s">
        <v>14</v>
      </c>
      <c r="I599" s="5">
        <v>80.5</v>
      </c>
      <c r="J599" s="5" t="s">
        <v>14</v>
      </c>
      <c r="K599" s="7">
        <v>78.79</v>
      </c>
      <c r="L599" s="8">
        <v>4</v>
      </c>
      <c r="M599" s="9"/>
    </row>
    <row r="600" s="1" customFormat="1" ht="20.1" customHeight="1" spans="1:13">
      <c r="A600" s="4" t="str">
        <f>"37502022030117040524096"</f>
        <v>37502022030117040524096</v>
      </c>
      <c r="B600" s="4" t="s">
        <v>603</v>
      </c>
      <c r="C600" s="4" t="s">
        <v>608</v>
      </c>
      <c r="D600" s="4" t="str">
        <f>"20220082226"</f>
        <v>20220082226</v>
      </c>
      <c r="E600" s="4" t="str">
        <f t="shared" si="117"/>
        <v>22</v>
      </c>
      <c r="F600" s="4" t="str">
        <f t="shared" si="116"/>
        <v>26</v>
      </c>
      <c r="G600" s="5">
        <v>73.88</v>
      </c>
      <c r="H600" s="5" t="s">
        <v>14</v>
      </c>
      <c r="I600" s="5">
        <v>80.6</v>
      </c>
      <c r="J600" s="5" t="s">
        <v>14</v>
      </c>
      <c r="K600" s="7">
        <v>78.58</v>
      </c>
      <c r="L600" s="8">
        <v>5</v>
      </c>
      <c r="M600" s="9"/>
    </row>
    <row r="601" s="1" customFormat="1" ht="20.1" customHeight="1" spans="1:13">
      <c r="A601" s="4" t="str">
        <f>"37502022022721191820911"</f>
        <v>37502022022721191820911</v>
      </c>
      <c r="B601" s="4" t="s">
        <v>603</v>
      </c>
      <c r="C601" s="4" t="s">
        <v>609</v>
      </c>
      <c r="D601" s="4" t="str">
        <f>"20220082112"</f>
        <v>20220082112</v>
      </c>
      <c r="E601" s="4" t="str">
        <f t="shared" si="115"/>
        <v>21</v>
      </c>
      <c r="F601" s="4" t="str">
        <f>"12"</f>
        <v>12</v>
      </c>
      <c r="G601" s="5">
        <v>77.74</v>
      </c>
      <c r="H601" s="5" t="s">
        <v>14</v>
      </c>
      <c r="I601" s="5">
        <v>77.9</v>
      </c>
      <c r="J601" s="5" t="s">
        <v>14</v>
      </c>
      <c r="K601" s="7">
        <v>77.85</v>
      </c>
      <c r="L601" s="8">
        <v>6</v>
      </c>
      <c r="M601" s="9"/>
    </row>
    <row r="602" s="1" customFormat="1" ht="20.1" customHeight="1" spans="1:13">
      <c r="A602" s="4" t="str">
        <f>"37502022022809521921521"</f>
        <v>37502022022809521921521</v>
      </c>
      <c r="B602" s="4" t="s">
        <v>603</v>
      </c>
      <c r="C602" s="4" t="s">
        <v>610</v>
      </c>
      <c r="D602" s="4" t="str">
        <f>"20220082026"</f>
        <v>20220082026</v>
      </c>
      <c r="E602" s="4" t="str">
        <f>"20"</f>
        <v>20</v>
      </c>
      <c r="F602" s="4" t="str">
        <f t="shared" si="116"/>
        <v>26</v>
      </c>
      <c r="G602" s="5">
        <v>83.88</v>
      </c>
      <c r="H602" s="5" t="s">
        <v>14</v>
      </c>
      <c r="I602" s="5">
        <v>75.2</v>
      </c>
      <c r="J602" s="5" t="s">
        <v>14</v>
      </c>
      <c r="K602" s="7">
        <v>77.8</v>
      </c>
      <c r="L602" s="8">
        <v>7</v>
      </c>
      <c r="M602" s="9"/>
    </row>
    <row r="603" s="1" customFormat="1" ht="20.1" customHeight="1" spans="1:13">
      <c r="A603" s="4" t="str">
        <f>"37502022022819165622882"</f>
        <v>37502022022819165622882</v>
      </c>
      <c r="B603" s="4" t="s">
        <v>603</v>
      </c>
      <c r="C603" s="4" t="s">
        <v>611</v>
      </c>
      <c r="D603" s="4" t="str">
        <f>"20220082230"</f>
        <v>20220082230</v>
      </c>
      <c r="E603" s="4" t="str">
        <f t="shared" ref="E603:E608" si="118">"22"</f>
        <v>22</v>
      </c>
      <c r="F603" s="4" t="str">
        <f>"30"</f>
        <v>30</v>
      </c>
      <c r="G603" s="5">
        <v>79.19</v>
      </c>
      <c r="H603" s="5" t="s">
        <v>14</v>
      </c>
      <c r="I603" s="5">
        <v>76.6</v>
      </c>
      <c r="J603" s="5" t="s">
        <v>14</v>
      </c>
      <c r="K603" s="7">
        <v>77.38</v>
      </c>
      <c r="L603" s="8">
        <v>8</v>
      </c>
      <c r="M603" s="9"/>
    </row>
    <row r="604" s="1" customFormat="1" ht="20.1" customHeight="1" spans="1:13">
      <c r="A604" s="4" t="str">
        <f>"37502022022822313823056"</f>
        <v>37502022022822313823056</v>
      </c>
      <c r="B604" s="4" t="s">
        <v>603</v>
      </c>
      <c r="C604" s="4" t="s">
        <v>612</v>
      </c>
      <c r="D604" s="4" t="str">
        <f>"20220082214"</f>
        <v>20220082214</v>
      </c>
      <c r="E604" s="4" t="str">
        <f t="shared" si="118"/>
        <v>22</v>
      </c>
      <c r="F604" s="4" t="str">
        <f>"14"</f>
        <v>14</v>
      </c>
      <c r="G604" s="5">
        <v>75.32</v>
      </c>
      <c r="H604" s="5" t="s">
        <v>14</v>
      </c>
      <c r="I604" s="5">
        <v>78.1</v>
      </c>
      <c r="J604" s="5" t="s">
        <v>14</v>
      </c>
      <c r="K604" s="7">
        <v>77.27</v>
      </c>
      <c r="L604" s="8">
        <v>9</v>
      </c>
      <c r="M604" s="9"/>
    </row>
    <row r="605" s="1" customFormat="1" ht="20.1" customHeight="1" spans="1:13">
      <c r="A605" s="4" t="str">
        <f>"37502022030221213526010"</f>
        <v>37502022030221213526010</v>
      </c>
      <c r="B605" s="4" t="s">
        <v>603</v>
      </c>
      <c r="C605" s="4" t="s">
        <v>613</v>
      </c>
      <c r="D605" s="4" t="str">
        <f>"20220082302"</f>
        <v>20220082302</v>
      </c>
      <c r="E605" s="4" t="str">
        <f>"23"</f>
        <v>23</v>
      </c>
      <c r="F605" s="4" t="str">
        <f>"02"</f>
        <v>02</v>
      </c>
      <c r="G605" s="5">
        <v>69.66</v>
      </c>
      <c r="H605" s="5" t="s">
        <v>14</v>
      </c>
      <c r="I605" s="5">
        <v>79.2</v>
      </c>
      <c r="J605" s="5" t="s">
        <v>14</v>
      </c>
      <c r="K605" s="7">
        <v>76.34</v>
      </c>
      <c r="L605" s="8">
        <v>10</v>
      </c>
      <c r="M605" s="9"/>
    </row>
    <row r="606" s="1" customFormat="1" ht="20.1" customHeight="1" spans="1:13">
      <c r="A606" s="4" t="str">
        <f>"37502022022723281521182"</f>
        <v>37502022022723281521182</v>
      </c>
      <c r="B606" s="4" t="s">
        <v>603</v>
      </c>
      <c r="C606" s="4" t="s">
        <v>614</v>
      </c>
      <c r="D606" s="4" t="str">
        <f>"20220082229"</f>
        <v>20220082229</v>
      </c>
      <c r="E606" s="4" t="str">
        <f t="shared" si="118"/>
        <v>22</v>
      </c>
      <c r="F606" s="4" t="str">
        <f>"29"</f>
        <v>29</v>
      </c>
      <c r="G606" s="5">
        <v>79.04</v>
      </c>
      <c r="H606" s="5" t="s">
        <v>14</v>
      </c>
      <c r="I606" s="5">
        <v>74.3</v>
      </c>
      <c r="J606" s="5" t="s">
        <v>14</v>
      </c>
      <c r="K606" s="7">
        <v>75.72</v>
      </c>
      <c r="L606" s="8">
        <v>11</v>
      </c>
      <c r="M606" s="9"/>
    </row>
    <row r="607" s="1" customFormat="1" ht="20.1" customHeight="1" spans="1:13">
      <c r="A607" s="4" t="str">
        <f>"37502022030117575424179"</f>
        <v>37502022030117575424179</v>
      </c>
      <c r="B607" s="4" t="s">
        <v>603</v>
      </c>
      <c r="C607" s="4" t="s">
        <v>615</v>
      </c>
      <c r="D607" s="4" t="str">
        <f>"20220082224"</f>
        <v>20220082224</v>
      </c>
      <c r="E607" s="4" t="str">
        <f t="shared" si="118"/>
        <v>22</v>
      </c>
      <c r="F607" s="4" t="str">
        <f>"24"</f>
        <v>24</v>
      </c>
      <c r="G607" s="5">
        <v>75.32</v>
      </c>
      <c r="H607" s="5" t="s">
        <v>14</v>
      </c>
      <c r="I607" s="5">
        <v>75.8</v>
      </c>
      <c r="J607" s="5" t="s">
        <v>14</v>
      </c>
      <c r="K607" s="7">
        <v>75.66</v>
      </c>
      <c r="L607" s="8">
        <v>12</v>
      </c>
      <c r="M607" s="9"/>
    </row>
    <row r="608" s="1" customFormat="1" ht="20.1" customHeight="1" spans="1:13">
      <c r="A608" s="4" t="str">
        <f>"37502022022610194218900"</f>
        <v>37502022022610194218900</v>
      </c>
      <c r="B608" s="4" t="s">
        <v>603</v>
      </c>
      <c r="C608" s="4" t="s">
        <v>616</v>
      </c>
      <c r="D608" s="4" t="str">
        <f>"20220082205"</f>
        <v>20220082205</v>
      </c>
      <c r="E608" s="4" t="str">
        <f t="shared" si="118"/>
        <v>22</v>
      </c>
      <c r="F608" s="4" t="str">
        <f>"05"</f>
        <v>05</v>
      </c>
      <c r="G608" s="5">
        <v>77.16</v>
      </c>
      <c r="H608" s="5" t="s">
        <v>14</v>
      </c>
      <c r="I608" s="5">
        <v>74.7</v>
      </c>
      <c r="J608" s="5" t="s">
        <v>14</v>
      </c>
      <c r="K608" s="7">
        <v>75.44</v>
      </c>
      <c r="L608" s="8">
        <v>13</v>
      </c>
      <c r="M608" s="9"/>
    </row>
    <row r="609" s="1" customFormat="1" ht="20.1" customHeight="1" spans="1:13">
      <c r="A609" s="4" t="str">
        <f>"37502022030111053323486"</f>
        <v>37502022030111053323486</v>
      </c>
      <c r="B609" s="4" t="s">
        <v>603</v>
      </c>
      <c r="C609" s="4" t="s">
        <v>617</v>
      </c>
      <c r="D609" s="4" t="str">
        <f>"20220082119"</f>
        <v>20220082119</v>
      </c>
      <c r="E609" s="4" t="str">
        <f t="shared" ref="E609:E616" si="119">"21"</f>
        <v>21</v>
      </c>
      <c r="F609" s="4" t="str">
        <f>"19"</f>
        <v>19</v>
      </c>
      <c r="G609" s="5">
        <v>75.21</v>
      </c>
      <c r="H609" s="5" t="s">
        <v>14</v>
      </c>
      <c r="I609" s="5">
        <v>75.3</v>
      </c>
      <c r="J609" s="5" t="s">
        <v>14</v>
      </c>
      <c r="K609" s="7">
        <v>75.27</v>
      </c>
      <c r="L609" s="8">
        <v>14</v>
      </c>
      <c r="M609" s="9"/>
    </row>
    <row r="610" s="1" customFormat="1" ht="20.1" customHeight="1" spans="1:13">
      <c r="A610" s="4" t="str">
        <f>"37502022022615130719292"</f>
        <v>37502022022615130719292</v>
      </c>
      <c r="B610" s="4" t="s">
        <v>603</v>
      </c>
      <c r="C610" s="4" t="s">
        <v>618</v>
      </c>
      <c r="D610" s="4" t="str">
        <f>"20220082113"</f>
        <v>20220082113</v>
      </c>
      <c r="E610" s="4" t="str">
        <f t="shared" si="119"/>
        <v>21</v>
      </c>
      <c r="F610" s="4" t="str">
        <f>"13"</f>
        <v>13</v>
      </c>
      <c r="G610" s="5">
        <v>77.51</v>
      </c>
      <c r="H610" s="5" t="s">
        <v>14</v>
      </c>
      <c r="I610" s="5">
        <v>73.9</v>
      </c>
      <c r="J610" s="5" t="s">
        <v>14</v>
      </c>
      <c r="K610" s="7">
        <v>74.98</v>
      </c>
      <c r="L610" s="8">
        <v>15</v>
      </c>
      <c r="M610" s="9"/>
    </row>
    <row r="611" s="1" customFormat="1" ht="20.1" customHeight="1" spans="1:13">
      <c r="A611" s="4" t="str">
        <f>"37502022022810204321594"</f>
        <v>37502022022810204321594</v>
      </c>
      <c r="B611" s="4" t="s">
        <v>603</v>
      </c>
      <c r="C611" s="4" t="s">
        <v>619</v>
      </c>
      <c r="D611" s="4" t="str">
        <f>"20220082211"</f>
        <v>20220082211</v>
      </c>
      <c r="E611" s="4" t="str">
        <f>"22"</f>
        <v>22</v>
      </c>
      <c r="F611" s="4" t="str">
        <f>"11"</f>
        <v>11</v>
      </c>
      <c r="G611" s="5">
        <v>65.07</v>
      </c>
      <c r="H611" s="5" t="s">
        <v>14</v>
      </c>
      <c r="I611" s="5">
        <v>78.8</v>
      </c>
      <c r="J611" s="5" t="s">
        <v>14</v>
      </c>
      <c r="K611" s="7">
        <v>74.68</v>
      </c>
      <c r="L611" s="8">
        <v>16</v>
      </c>
      <c r="M611" s="9"/>
    </row>
    <row r="612" s="1" customFormat="1" ht="20.1" customHeight="1" spans="1:13">
      <c r="A612" s="4" t="str">
        <f>"37502022022809260921442"</f>
        <v>37502022022809260921442</v>
      </c>
      <c r="B612" s="4" t="s">
        <v>603</v>
      </c>
      <c r="C612" s="4" t="s">
        <v>620</v>
      </c>
      <c r="D612" s="4" t="str">
        <f>"20220082201"</f>
        <v>20220082201</v>
      </c>
      <c r="E612" s="4" t="str">
        <f>"22"</f>
        <v>22</v>
      </c>
      <c r="F612" s="4" t="str">
        <f>"01"</f>
        <v>01</v>
      </c>
      <c r="G612" s="5">
        <v>67.55</v>
      </c>
      <c r="H612" s="5" t="s">
        <v>14</v>
      </c>
      <c r="I612" s="5">
        <v>77.2</v>
      </c>
      <c r="J612" s="5" t="s">
        <v>14</v>
      </c>
      <c r="K612" s="7">
        <v>74.31</v>
      </c>
      <c r="L612" s="8">
        <v>17</v>
      </c>
      <c r="M612" s="9"/>
    </row>
    <row r="613" s="1" customFormat="1" ht="20.1" customHeight="1" spans="1:13">
      <c r="A613" s="4" t="str">
        <f>"37502022030120272324459"</f>
        <v>37502022030120272324459</v>
      </c>
      <c r="B613" s="4" t="s">
        <v>603</v>
      </c>
      <c r="C613" s="4" t="s">
        <v>621</v>
      </c>
      <c r="D613" s="4" t="str">
        <f>"20220082117"</f>
        <v>20220082117</v>
      </c>
      <c r="E613" s="4" t="str">
        <f t="shared" si="119"/>
        <v>21</v>
      </c>
      <c r="F613" s="4" t="str">
        <f>"17"</f>
        <v>17</v>
      </c>
      <c r="G613" s="5">
        <v>77.03</v>
      </c>
      <c r="H613" s="5" t="s">
        <v>14</v>
      </c>
      <c r="I613" s="5">
        <v>72.8</v>
      </c>
      <c r="J613" s="5" t="s">
        <v>14</v>
      </c>
      <c r="K613" s="7">
        <v>74.07</v>
      </c>
      <c r="L613" s="8">
        <v>18</v>
      </c>
      <c r="M613" s="9"/>
    </row>
    <row r="614" s="1" customFormat="1" ht="20.1" customHeight="1" spans="1:13">
      <c r="A614" s="4" t="str">
        <f>"37502022022718122920570"</f>
        <v>37502022022718122920570</v>
      </c>
      <c r="B614" s="4" t="s">
        <v>603</v>
      </c>
      <c r="C614" s="4" t="s">
        <v>622</v>
      </c>
      <c r="D614" s="4" t="str">
        <f>"20220082120"</f>
        <v>20220082120</v>
      </c>
      <c r="E614" s="4" t="str">
        <f t="shared" si="119"/>
        <v>21</v>
      </c>
      <c r="F614" s="4" t="str">
        <f>"20"</f>
        <v>20</v>
      </c>
      <c r="G614" s="5">
        <v>67.42</v>
      </c>
      <c r="H614" s="5" t="s">
        <v>14</v>
      </c>
      <c r="I614" s="5">
        <v>76.8</v>
      </c>
      <c r="J614" s="5" t="s">
        <v>14</v>
      </c>
      <c r="K614" s="7">
        <v>73.99</v>
      </c>
      <c r="L614" s="8">
        <v>19</v>
      </c>
      <c r="M614" s="9"/>
    </row>
    <row r="615" s="1" customFormat="1" ht="20.1" customHeight="1" spans="1:13">
      <c r="A615" s="4" t="str">
        <f>"37502022030110481923442"</f>
        <v>37502022030110481923442</v>
      </c>
      <c r="B615" s="4" t="s">
        <v>603</v>
      </c>
      <c r="C615" s="4" t="s">
        <v>623</v>
      </c>
      <c r="D615" s="4" t="str">
        <f>"20220082125"</f>
        <v>20220082125</v>
      </c>
      <c r="E615" s="4" t="str">
        <f t="shared" si="119"/>
        <v>21</v>
      </c>
      <c r="F615" s="4" t="str">
        <f>"25"</f>
        <v>25</v>
      </c>
      <c r="G615" s="5">
        <v>74.99</v>
      </c>
      <c r="H615" s="5" t="s">
        <v>14</v>
      </c>
      <c r="I615" s="5">
        <v>73.1</v>
      </c>
      <c r="J615" s="5" t="s">
        <v>14</v>
      </c>
      <c r="K615" s="7">
        <v>73.67</v>
      </c>
      <c r="L615" s="8">
        <v>20</v>
      </c>
      <c r="M615" s="9"/>
    </row>
    <row r="616" s="1" customFormat="1" ht="20.1" customHeight="1" spans="1:13">
      <c r="A616" s="4" t="str">
        <f>"37502022022612372419104"</f>
        <v>37502022022612372419104</v>
      </c>
      <c r="B616" s="4" t="s">
        <v>603</v>
      </c>
      <c r="C616" s="4" t="s">
        <v>624</v>
      </c>
      <c r="D616" s="4" t="str">
        <f>"20220082106"</f>
        <v>20220082106</v>
      </c>
      <c r="E616" s="4" t="str">
        <f t="shared" si="119"/>
        <v>21</v>
      </c>
      <c r="F616" s="4" t="str">
        <f>"06"</f>
        <v>06</v>
      </c>
      <c r="G616" s="5">
        <v>70.05</v>
      </c>
      <c r="H616" s="5" t="s">
        <v>14</v>
      </c>
      <c r="I616" s="5">
        <v>73.9</v>
      </c>
      <c r="J616" s="5" t="s">
        <v>14</v>
      </c>
      <c r="K616" s="7">
        <v>72.75</v>
      </c>
      <c r="L616" s="8">
        <v>21</v>
      </c>
      <c r="M616" s="9"/>
    </row>
    <row r="617" s="1" customFormat="1" ht="20.1" customHeight="1" spans="1:13">
      <c r="A617" s="4" t="str">
        <f>"37502022030120514224515"</f>
        <v>37502022030120514224515</v>
      </c>
      <c r="B617" s="4" t="s">
        <v>603</v>
      </c>
      <c r="C617" s="4" t="s">
        <v>625</v>
      </c>
      <c r="D617" s="4" t="str">
        <f>"20220082222"</f>
        <v>20220082222</v>
      </c>
      <c r="E617" s="4" t="str">
        <f>"22"</f>
        <v>22</v>
      </c>
      <c r="F617" s="4" t="str">
        <f>"22"</f>
        <v>22</v>
      </c>
      <c r="G617" s="5">
        <v>73.54</v>
      </c>
      <c r="H617" s="5" t="s">
        <v>14</v>
      </c>
      <c r="I617" s="5">
        <v>72</v>
      </c>
      <c r="J617" s="5" t="s">
        <v>14</v>
      </c>
      <c r="K617" s="7">
        <v>72.46</v>
      </c>
      <c r="L617" s="8">
        <v>22</v>
      </c>
      <c r="M617" s="9"/>
    </row>
    <row r="618" s="1" customFormat="1" ht="20.1" customHeight="1" spans="1:13">
      <c r="A618" s="4" t="str">
        <f>"37502022030119082424309"</f>
        <v>37502022030119082424309</v>
      </c>
      <c r="B618" s="4" t="s">
        <v>603</v>
      </c>
      <c r="C618" s="4" t="s">
        <v>626</v>
      </c>
      <c r="D618" s="4" t="str">
        <f>"20220082028"</f>
        <v>20220082028</v>
      </c>
      <c r="E618" s="4" t="str">
        <f>"20"</f>
        <v>20</v>
      </c>
      <c r="F618" s="4" t="str">
        <f>"28"</f>
        <v>28</v>
      </c>
      <c r="G618" s="5">
        <v>67.68</v>
      </c>
      <c r="H618" s="5" t="s">
        <v>14</v>
      </c>
      <c r="I618" s="5">
        <v>74.5</v>
      </c>
      <c r="J618" s="5" t="s">
        <v>14</v>
      </c>
      <c r="K618" s="7">
        <v>72.45</v>
      </c>
      <c r="L618" s="8">
        <v>23</v>
      </c>
      <c r="M618" s="9"/>
    </row>
    <row r="619" s="1" customFormat="1" ht="20.1" customHeight="1" spans="1:13">
      <c r="A619" s="4" t="str">
        <f>"37502022030120000524412"</f>
        <v>37502022030120000524412</v>
      </c>
      <c r="B619" s="4" t="s">
        <v>603</v>
      </c>
      <c r="C619" s="4" t="s">
        <v>627</v>
      </c>
      <c r="D619" s="4" t="str">
        <f>"20220082115"</f>
        <v>20220082115</v>
      </c>
      <c r="E619" s="4" t="str">
        <f t="shared" ref="E619:E624" si="120">"21"</f>
        <v>21</v>
      </c>
      <c r="F619" s="4" t="str">
        <f>"15"</f>
        <v>15</v>
      </c>
      <c r="G619" s="5">
        <v>65.06</v>
      </c>
      <c r="H619" s="5" t="s">
        <v>14</v>
      </c>
      <c r="I619" s="5">
        <v>75.6</v>
      </c>
      <c r="J619" s="5" t="s">
        <v>14</v>
      </c>
      <c r="K619" s="7">
        <v>72.44</v>
      </c>
      <c r="L619" s="8">
        <v>24</v>
      </c>
      <c r="M619" s="9"/>
    </row>
    <row r="620" s="1" customFormat="1" ht="20.1" customHeight="1" spans="1:13">
      <c r="A620" s="4" t="str">
        <f>"37502022030209234224910"</f>
        <v>37502022030209234224910</v>
      </c>
      <c r="B620" s="4" t="s">
        <v>603</v>
      </c>
      <c r="C620" s="4" t="s">
        <v>628</v>
      </c>
      <c r="D620" s="4" t="str">
        <f>"20220082108"</f>
        <v>20220082108</v>
      </c>
      <c r="E620" s="4" t="str">
        <f t="shared" si="120"/>
        <v>21</v>
      </c>
      <c r="F620" s="4" t="str">
        <f>"08"</f>
        <v>08</v>
      </c>
      <c r="G620" s="5">
        <v>65.84</v>
      </c>
      <c r="H620" s="5" t="s">
        <v>14</v>
      </c>
      <c r="I620" s="5">
        <v>75</v>
      </c>
      <c r="J620" s="5" t="s">
        <v>14</v>
      </c>
      <c r="K620" s="7">
        <v>72.25</v>
      </c>
      <c r="L620" s="8">
        <v>25</v>
      </c>
      <c r="M620" s="9"/>
    </row>
    <row r="621" s="1" customFormat="1" ht="20.1" customHeight="1" spans="1:13">
      <c r="A621" s="4" t="str">
        <f>"37502022030118573324290"</f>
        <v>37502022030118573324290</v>
      </c>
      <c r="B621" s="4" t="s">
        <v>603</v>
      </c>
      <c r="C621" s="4" t="s">
        <v>629</v>
      </c>
      <c r="D621" s="4" t="str">
        <f>"20220082129"</f>
        <v>20220082129</v>
      </c>
      <c r="E621" s="4" t="str">
        <f t="shared" si="120"/>
        <v>21</v>
      </c>
      <c r="F621" s="4" t="str">
        <f>"29"</f>
        <v>29</v>
      </c>
      <c r="G621" s="5">
        <v>66.49</v>
      </c>
      <c r="H621" s="5" t="s">
        <v>14</v>
      </c>
      <c r="I621" s="5">
        <v>74.6</v>
      </c>
      <c r="J621" s="5" t="s">
        <v>14</v>
      </c>
      <c r="K621" s="7">
        <v>72.17</v>
      </c>
      <c r="L621" s="8">
        <v>26</v>
      </c>
      <c r="M621" s="9"/>
    </row>
    <row r="622" s="1" customFormat="1" ht="20.1" customHeight="1" spans="1:13">
      <c r="A622" s="4" t="str">
        <f>"37502022030122171624670"</f>
        <v>37502022030122171624670</v>
      </c>
      <c r="B622" s="4" t="s">
        <v>603</v>
      </c>
      <c r="C622" s="4" t="s">
        <v>630</v>
      </c>
      <c r="D622" s="4" t="str">
        <f>"20220082111"</f>
        <v>20220082111</v>
      </c>
      <c r="E622" s="4" t="str">
        <f t="shared" si="120"/>
        <v>21</v>
      </c>
      <c r="F622" s="4" t="str">
        <f>"11"</f>
        <v>11</v>
      </c>
      <c r="G622" s="5">
        <v>67.55</v>
      </c>
      <c r="H622" s="5" t="s">
        <v>14</v>
      </c>
      <c r="I622" s="5">
        <v>73.2</v>
      </c>
      <c r="J622" s="5" t="s">
        <v>14</v>
      </c>
      <c r="K622" s="7">
        <v>71.51</v>
      </c>
      <c r="L622" s="8">
        <v>27</v>
      </c>
      <c r="M622" s="9"/>
    </row>
    <row r="623" s="1" customFormat="1" ht="20.1" customHeight="1" spans="1:13">
      <c r="A623" s="4" t="str">
        <f>"37502022022615005819277"</f>
        <v>37502022022615005819277</v>
      </c>
      <c r="B623" s="4" t="s">
        <v>603</v>
      </c>
      <c r="C623" s="4" t="s">
        <v>631</v>
      </c>
      <c r="D623" s="4" t="str">
        <f>"20220082103"</f>
        <v>20220082103</v>
      </c>
      <c r="E623" s="4" t="str">
        <f t="shared" si="120"/>
        <v>21</v>
      </c>
      <c r="F623" s="4" t="str">
        <f>"03"</f>
        <v>03</v>
      </c>
      <c r="G623" s="5">
        <v>75.71</v>
      </c>
      <c r="H623" s="5" t="s">
        <v>14</v>
      </c>
      <c r="I623" s="5">
        <v>68.7</v>
      </c>
      <c r="J623" s="5" t="s">
        <v>14</v>
      </c>
      <c r="K623" s="7">
        <v>70.8</v>
      </c>
      <c r="L623" s="8">
        <v>28</v>
      </c>
      <c r="M623" s="9"/>
    </row>
    <row r="624" s="1" customFormat="1" ht="20.1" customHeight="1" spans="1:13">
      <c r="A624" s="4" t="str">
        <f>"37502022030213392625321"</f>
        <v>37502022030213392625321</v>
      </c>
      <c r="B624" s="4" t="s">
        <v>603</v>
      </c>
      <c r="C624" s="4" t="s">
        <v>632</v>
      </c>
      <c r="D624" s="4" t="str">
        <f>"20220082128"</f>
        <v>20220082128</v>
      </c>
      <c r="E624" s="4" t="str">
        <f t="shared" si="120"/>
        <v>21</v>
      </c>
      <c r="F624" s="4" t="str">
        <f>"28"</f>
        <v>28</v>
      </c>
      <c r="G624" s="5">
        <v>61.95</v>
      </c>
      <c r="H624" s="5" t="s">
        <v>14</v>
      </c>
      <c r="I624" s="5">
        <v>74.4</v>
      </c>
      <c r="J624" s="5" t="s">
        <v>14</v>
      </c>
      <c r="K624" s="7">
        <v>70.67</v>
      </c>
      <c r="L624" s="8">
        <v>29</v>
      </c>
      <c r="M624" s="9"/>
    </row>
    <row r="625" s="1" customFormat="1" ht="20.1" customHeight="1" spans="1:13">
      <c r="A625" s="4" t="str">
        <f>"37502022030109134323206"</f>
        <v>37502022030109134323206</v>
      </c>
      <c r="B625" s="4" t="s">
        <v>603</v>
      </c>
      <c r="C625" s="4" t="s">
        <v>633</v>
      </c>
      <c r="D625" s="4" t="str">
        <f>"20220082225"</f>
        <v>20220082225</v>
      </c>
      <c r="E625" s="4" t="str">
        <f t="shared" ref="E625:E630" si="121">"22"</f>
        <v>22</v>
      </c>
      <c r="F625" s="4" t="str">
        <f>"25"</f>
        <v>25</v>
      </c>
      <c r="G625" s="5">
        <v>69</v>
      </c>
      <c r="H625" s="5" t="s">
        <v>14</v>
      </c>
      <c r="I625" s="5">
        <v>71.1</v>
      </c>
      <c r="J625" s="5" t="s">
        <v>14</v>
      </c>
      <c r="K625" s="7">
        <v>70.47</v>
      </c>
      <c r="L625" s="8">
        <v>30</v>
      </c>
      <c r="M625" s="9"/>
    </row>
    <row r="626" s="1" customFormat="1" ht="20.1" customHeight="1" spans="1:13">
      <c r="A626" s="4" t="str">
        <f>"37502022030122121924662"</f>
        <v>37502022030122121924662</v>
      </c>
      <c r="B626" s="4" t="s">
        <v>603</v>
      </c>
      <c r="C626" s="4" t="s">
        <v>634</v>
      </c>
      <c r="D626" s="4" t="str">
        <f>"20220082202"</f>
        <v>20220082202</v>
      </c>
      <c r="E626" s="4" t="str">
        <f t="shared" si="121"/>
        <v>22</v>
      </c>
      <c r="F626" s="4" t="str">
        <f>"02"</f>
        <v>02</v>
      </c>
      <c r="G626" s="5">
        <v>66.09</v>
      </c>
      <c r="H626" s="5" t="s">
        <v>14</v>
      </c>
      <c r="I626" s="5">
        <v>72.2</v>
      </c>
      <c r="J626" s="5" t="s">
        <v>14</v>
      </c>
      <c r="K626" s="7">
        <v>70.37</v>
      </c>
      <c r="L626" s="8">
        <v>31</v>
      </c>
      <c r="M626" s="9"/>
    </row>
    <row r="627" s="1" customFormat="1" ht="20.1" customHeight="1" spans="1:13">
      <c r="A627" s="4" t="str">
        <f>"37502022022610590618974"</f>
        <v>37502022022610590618974</v>
      </c>
      <c r="B627" s="4" t="s">
        <v>603</v>
      </c>
      <c r="C627" s="4" t="s">
        <v>635</v>
      </c>
      <c r="D627" s="4" t="str">
        <f>"20220082124"</f>
        <v>20220082124</v>
      </c>
      <c r="E627" s="4" t="str">
        <f>"21"</f>
        <v>21</v>
      </c>
      <c r="F627" s="4" t="str">
        <f>"24"</f>
        <v>24</v>
      </c>
      <c r="G627" s="5">
        <v>69.9</v>
      </c>
      <c r="H627" s="5" t="s">
        <v>14</v>
      </c>
      <c r="I627" s="5">
        <v>70.3</v>
      </c>
      <c r="J627" s="5" t="s">
        <v>14</v>
      </c>
      <c r="K627" s="7">
        <v>70.18</v>
      </c>
      <c r="L627" s="8">
        <v>32</v>
      </c>
      <c r="M627" s="9"/>
    </row>
    <row r="628" s="1" customFormat="1" ht="20.1" customHeight="1" spans="1:13">
      <c r="A628" s="4" t="str">
        <f>"37502022030213144025283"</f>
        <v>37502022030213144025283</v>
      </c>
      <c r="B628" s="4" t="s">
        <v>603</v>
      </c>
      <c r="C628" s="4" t="s">
        <v>636</v>
      </c>
      <c r="D628" s="4" t="str">
        <f>"20220082301"</f>
        <v>20220082301</v>
      </c>
      <c r="E628" s="4" t="str">
        <f>"23"</f>
        <v>23</v>
      </c>
      <c r="F628" s="4" t="str">
        <f>"01"</f>
        <v>01</v>
      </c>
      <c r="G628" s="5">
        <v>63.47</v>
      </c>
      <c r="H628" s="5" t="s">
        <v>14</v>
      </c>
      <c r="I628" s="5">
        <v>72.7</v>
      </c>
      <c r="J628" s="5" t="s">
        <v>14</v>
      </c>
      <c r="K628" s="7">
        <v>69.93</v>
      </c>
      <c r="L628" s="8">
        <v>33</v>
      </c>
      <c r="M628" s="9"/>
    </row>
    <row r="629" s="1" customFormat="1" ht="20.1" customHeight="1" spans="1:13">
      <c r="A629" s="4" t="str">
        <f>"37502022022619574219589"</f>
        <v>37502022022619574219589</v>
      </c>
      <c r="B629" s="4" t="s">
        <v>603</v>
      </c>
      <c r="C629" s="4" t="s">
        <v>637</v>
      </c>
      <c r="D629" s="4" t="str">
        <f>"20220082216"</f>
        <v>20220082216</v>
      </c>
      <c r="E629" s="4" t="str">
        <f t="shared" si="121"/>
        <v>22</v>
      </c>
      <c r="F629" s="4" t="str">
        <f>"16"</f>
        <v>16</v>
      </c>
      <c r="G629" s="5">
        <v>67.39</v>
      </c>
      <c r="H629" s="5" t="s">
        <v>14</v>
      </c>
      <c r="I629" s="5">
        <v>70.7</v>
      </c>
      <c r="J629" s="5" t="s">
        <v>14</v>
      </c>
      <c r="K629" s="7">
        <v>69.71</v>
      </c>
      <c r="L629" s="8">
        <v>34</v>
      </c>
      <c r="M629" s="9"/>
    </row>
    <row r="630" s="1" customFormat="1" ht="20.1" customHeight="1" spans="1:13">
      <c r="A630" s="4" t="str">
        <f>"37502022022611163218998"</f>
        <v>37502022022611163218998</v>
      </c>
      <c r="B630" s="4" t="s">
        <v>603</v>
      </c>
      <c r="C630" s="4" t="s">
        <v>638</v>
      </c>
      <c r="D630" s="4" t="str">
        <f>"20220082209"</f>
        <v>20220082209</v>
      </c>
      <c r="E630" s="4" t="str">
        <f t="shared" si="121"/>
        <v>22</v>
      </c>
      <c r="F630" s="4" t="str">
        <f>"09"</f>
        <v>09</v>
      </c>
      <c r="G630" s="5">
        <v>70.61</v>
      </c>
      <c r="H630" s="5" t="s">
        <v>14</v>
      </c>
      <c r="I630" s="5">
        <v>68.3</v>
      </c>
      <c r="J630" s="5" t="s">
        <v>14</v>
      </c>
      <c r="K630" s="7">
        <v>68.99</v>
      </c>
      <c r="L630" s="8">
        <v>35</v>
      </c>
      <c r="M630" s="9"/>
    </row>
    <row r="631" s="1" customFormat="1" ht="20.1" customHeight="1" spans="1:13">
      <c r="A631" s="4" t="str">
        <f>"37502022030219300925814"</f>
        <v>37502022030219300925814</v>
      </c>
      <c r="B631" s="4" t="s">
        <v>603</v>
      </c>
      <c r="C631" s="4" t="s">
        <v>639</v>
      </c>
      <c r="D631" s="4" t="str">
        <f>"20220082130"</f>
        <v>20220082130</v>
      </c>
      <c r="E631" s="4" t="str">
        <f>"21"</f>
        <v>21</v>
      </c>
      <c r="F631" s="4" t="str">
        <f>"30"</f>
        <v>30</v>
      </c>
      <c r="G631" s="5">
        <v>68.87</v>
      </c>
      <c r="H631" s="5" t="s">
        <v>14</v>
      </c>
      <c r="I631" s="5">
        <v>68.1</v>
      </c>
      <c r="J631" s="5" t="s">
        <v>14</v>
      </c>
      <c r="K631" s="7">
        <v>68.33</v>
      </c>
      <c r="L631" s="8">
        <v>36</v>
      </c>
      <c r="M631" s="9"/>
    </row>
    <row r="632" s="1" customFormat="1" ht="20.1" customHeight="1" spans="1:13">
      <c r="A632" s="4" t="str">
        <f>"37502022022715201320324"</f>
        <v>37502022022715201320324</v>
      </c>
      <c r="B632" s="4" t="s">
        <v>603</v>
      </c>
      <c r="C632" s="4" t="s">
        <v>640</v>
      </c>
      <c r="D632" s="4" t="str">
        <f>"20220082029"</f>
        <v>20220082029</v>
      </c>
      <c r="E632" s="4" t="str">
        <f t="shared" ref="E632:E637" si="122">"20"</f>
        <v>20</v>
      </c>
      <c r="F632" s="4" t="str">
        <f>"29"</f>
        <v>29</v>
      </c>
      <c r="G632" s="5">
        <v>67.17</v>
      </c>
      <c r="H632" s="5" t="s">
        <v>14</v>
      </c>
      <c r="I632" s="5">
        <v>68.4</v>
      </c>
      <c r="J632" s="5" t="s">
        <v>14</v>
      </c>
      <c r="K632" s="7">
        <v>68.03</v>
      </c>
      <c r="L632" s="8">
        <v>37</v>
      </c>
      <c r="M632" s="9"/>
    </row>
    <row r="633" s="1" customFormat="1" ht="20.1" customHeight="1" spans="1:13">
      <c r="A633" s="4" t="str">
        <f>"37502022030112522923678"</f>
        <v>37502022030112522923678</v>
      </c>
      <c r="B633" s="4" t="s">
        <v>603</v>
      </c>
      <c r="C633" s="4" t="s">
        <v>641</v>
      </c>
      <c r="D633" s="4" t="str">
        <f>"20220082123"</f>
        <v>20220082123</v>
      </c>
      <c r="E633" s="4" t="str">
        <f>"21"</f>
        <v>21</v>
      </c>
      <c r="F633" s="4" t="str">
        <f>"23"</f>
        <v>23</v>
      </c>
      <c r="G633" s="5">
        <v>65.25</v>
      </c>
      <c r="H633" s="5" t="s">
        <v>14</v>
      </c>
      <c r="I633" s="5">
        <v>68.9</v>
      </c>
      <c r="J633" s="5" t="s">
        <v>14</v>
      </c>
      <c r="K633" s="7">
        <v>67.81</v>
      </c>
      <c r="L633" s="8">
        <v>38</v>
      </c>
      <c r="M633" s="9"/>
    </row>
    <row r="634" s="1" customFormat="1" ht="20.1" customHeight="1" spans="1:13">
      <c r="A634" s="4" t="str">
        <f>"37502022022612162419068"</f>
        <v>37502022022612162419068</v>
      </c>
      <c r="B634" s="4" t="s">
        <v>603</v>
      </c>
      <c r="C634" s="4" t="s">
        <v>642</v>
      </c>
      <c r="D634" s="4" t="str">
        <f>"20220082024"</f>
        <v>20220082024</v>
      </c>
      <c r="E634" s="4" t="str">
        <f t="shared" si="122"/>
        <v>20</v>
      </c>
      <c r="F634" s="4" t="str">
        <f>"24"</f>
        <v>24</v>
      </c>
      <c r="G634" s="5">
        <v>67.52</v>
      </c>
      <c r="H634" s="5" t="s">
        <v>14</v>
      </c>
      <c r="I634" s="5">
        <v>67.9</v>
      </c>
      <c r="J634" s="5" t="s">
        <v>14</v>
      </c>
      <c r="K634" s="7">
        <v>67.79</v>
      </c>
      <c r="L634" s="8">
        <v>39</v>
      </c>
      <c r="M634" s="9"/>
    </row>
    <row r="635" s="1" customFormat="1" ht="20.1" customHeight="1" spans="1:13">
      <c r="A635" s="4" t="str">
        <f>"37502022022808102221294"</f>
        <v>37502022022808102221294</v>
      </c>
      <c r="B635" s="4" t="s">
        <v>603</v>
      </c>
      <c r="C635" s="4" t="s">
        <v>643</v>
      </c>
      <c r="D635" s="4" t="str">
        <f>"20220082212"</f>
        <v>20220082212</v>
      </c>
      <c r="E635" s="4" t="str">
        <f t="shared" ref="E635:E640" si="123">"22"</f>
        <v>22</v>
      </c>
      <c r="F635" s="4" t="str">
        <f>"12"</f>
        <v>12</v>
      </c>
      <c r="G635" s="5">
        <v>68.83</v>
      </c>
      <c r="H635" s="5" t="s">
        <v>14</v>
      </c>
      <c r="I635" s="5">
        <v>67.2</v>
      </c>
      <c r="J635" s="5" t="s">
        <v>14</v>
      </c>
      <c r="K635" s="7">
        <v>67.69</v>
      </c>
      <c r="L635" s="8">
        <v>40</v>
      </c>
      <c r="M635" s="9"/>
    </row>
    <row r="636" s="1" customFormat="1" ht="20.1" customHeight="1" spans="1:13">
      <c r="A636" s="4" t="str">
        <f>"37502022030119050024304"</f>
        <v>37502022030119050024304</v>
      </c>
      <c r="B636" s="4" t="s">
        <v>603</v>
      </c>
      <c r="C636" s="4" t="s">
        <v>644</v>
      </c>
      <c r="D636" s="4" t="str">
        <f>"20220082208"</f>
        <v>20220082208</v>
      </c>
      <c r="E636" s="4" t="str">
        <f t="shared" si="123"/>
        <v>22</v>
      </c>
      <c r="F636" s="4" t="str">
        <f>"08"</f>
        <v>08</v>
      </c>
      <c r="G636" s="5">
        <v>66.24</v>
      </c>
      <c r="H636" s="5" t="s">
        <v>14</v>
      </c>
      <c r="I636" s="5">
        <v>67.5</v>
      </c>
      <c r="J636" s="5" t="s">
        <v>14</v>
      </c>
      <c r="K636" s="7">
        <v>67.12</v>
      </c>
      <c r="L636" s="8">
        <v>41</v>
      </c>
      <c r="M636" s="9"/>
    </row>
    <row r="637" s="1" customFormat="1" ht="20.1" customHeight="1" spans="1:13">
      <c r="A637" s="4" t="str">
        <f>"37502022022610111618856"</f>
        <v>37502022022610111618856</v>
      </c>
      <c r="B637" s="4" t="s">
        <v>603</v>
      </c>
      <c r="C637" s="4" t="s">
        <v>645</v>
      </c>
      <c r="D637" s="4" t="str">
        <f>"20220082027"</f>
        <v>20220082027</v>
      </c>
      <c r="E637" s="4" t="str">
        <f t="shared" si="122"/>
        <v>20</v>
      </c>
      <c r="F637" s="4" t="str">
        <f>"27"</f>
        <v>27</v>
      </c>
      <c r="G637" s="5">
        <v>60.41</v>
      </c>
      <c r="H637" s="5" t="s">
        <v>14</v>
      </c>
      <c r="I637" s="5">
        <v>68.5</v>
      </c>
      <c r="J637" s="5" t="s">
        <v>14</v>
      </c>
      <c r="K637" s="7">
        <v>66.07</v>
      </c>
      <c r="L637" s="8">
        <v>42</v>
      </c>
      <c r="M637" s="9"/>
    </row>
    <row r="638" s="1" customFormat="1" ht="20.1" customHeight="1" spans="1:13">
      <c r="A638" s="4" t="str">
        <f>"37502022030119251924351"</f>
        <v>37502022030119251924351</v>
      </c>
      <c r="B638" s="4" t="s">
        <v>603</v>
      </c>
      <c r="C638" s="4" t="s">
        <v>646</v>
      </c>
      <c r="D638" s="4" t="str">
        <f>"20220082127"</f>
        <v>20220082127</v>
      </c>
      <c r="E638" s="4" t="str">
        <f t="shared" ref="E638:E643" si="124">"21"</f>
        <v>21</v>
      </c>
      <c r="F638" s="4" t="str">
        <f>"27"</f>
        <v>27</v>
      </c>
      <c r="G638" s="5">
        <v>64.7</v>
      </c>
      <c r="H638" s="5" t="s">
        <v>14</v>
      </c>
      <c r="I638" s="5">
        <v>66.6</v>
      </c>
      <c r="J638" s="5" t="s">
        <v>14</v>
      </c>
      <c r="K638" s="7">
        <v>66.03</v>
      </c>
      <c r="L638" s="8">
        <v>43</v>
      </c>
      <c r="M638" s="9"/>
    </row>
    <row r="639" s="1" customFormat="1" ht="20.1" customHeight="1" spans="1:13">
      <c r="A639" s="4" t="str">
        <f>"37502022030118315024238"</f>
        <v>37502022030118315024238</v>
      </c>
      <c r="B639" s="4" t="s">
        <v>603</v>
      </c>
      <c r="C639" s="4" t="s">
        <v>647</v>
      </c>
      <c r="D639" s="4" t="str">
        <f>"20220082223"</f>
        <v>20220082223</v>
      </c>
      <c r="E639" s="4" t="str">
        <f t="shared" si="123"/>
        <v>22</v>
      </c>
      <c r="F639" s="4" t="str">
        <f>"23"</f>
        <v>23</v>
      </c>
      <c r="G639" s="5">
        <v>69</v>
      </c>
      <c r="H639" s="5" t="s">
        <v>14</v>
      </c>
      <c r="I639" s="5">
        <v>64.4</v>
      </c>
      <c r="J639" s="5" t="s">
        <v>14</v>
      </c>
      <c r="K639" s="7">
        <v>65.78</v>
      </c>
      <c r="L639" s="8">
        <v>44</v>
      </c>
      <c r="M639" s="9"/>
    </row>
    <row r="640" s="1" customFormat="1" ht="20.1" customHeight="1" spans="1:13">
      <c r="A640" s="4" t="str">
        <f>"37502022022817352222800"</f>
        <v>37502022022817352222800</v>
      </c>
      <c r="B640" s="4" t="s">
        <v>603</v>
      </c>
      <c r="C640" s="4" t="s">
        <v>648</v>
      </c>
      <c r="D640" s="4" t="str">
        <f>"20220082207"</f>
        <v>20220082207</v>
      </c>
      <c r="E640" s="4" t="str">
        <f t="shared" si="123"/>
        <v>22</v>
      </c>
      <c r="F640" s="4" t="str">
        <f>"07"</f>
        <v>07</v>
      </c>
      <c r="G640" s="5">
        <v>56.35</v>
      </c>
      <c r="H640" s="5" t="s">
        <v>14</v>
      </c>
      <c r="I640" s="5">
        <v>68</v>
      </c>
      <c r="J640" s="5" t="s">
        <v>14</v>
      </c>
      <c r="K640" s="7">
        <v>64.51</v>
      </c>
      <c r="L640" s="8">
        <v>45</v>
      </c>
      <c r="M640" s="9"/>
    </row>
    <row r="641" s="1" customFormat="1" ht="20.1" customHeight="1" spans="1:13">
      <c r="A641" s="4" t="str">
        <f>"37502022030109085323194"</f>
        <v>37502022030109085323194</v>
      </c>
      <c r="B641" s="4" t="s">
        <v>603</v>
      </c>
      <c r="C641" s="4" t="s">
        <v>649</v>
      </c>
      <c r="D641" s="4" t="str">
        <f>"20220082121"</f>
        <v>20220082121</v>
      </c>
      <c r="E641" s="4" t="str">
        <f t="shared" si="124"/>
        <v>21</v>
      </c>
      <c r="F641" s="4" t="str">
        <f>"21"</f>
        <v>21</v>
      </c>
      <c r="G641" s="5">
        <v>67.21</v>
      </c>
      <c r="H641" s="5" t="s">
        <v>14</v>
      </c>
      <c r="I641" s="5">
        <v>62.7</v>
      </c>
      <c r="J641" s="5" t="s">
        <v>14</v>
      </c>
      <c r="K641" s="7">
        <v>64.05</v>
      </c>
      <c r="L641" s="8">
        <v>46</v>
      </c>
      <c r="M641" s="9"/>
    </row>
    <row r="642" s="1" customFormat="1" ht="20.1" customHeight="1" spans="1:13">
      <c r="A642" s="4" t="str">
        <f>"37502022022811021621721"</f>
        <v>37502022022811021621721</v>
      </c>
      <c r="B642" s="4" t="s">
        <v>603</v>
      </c>
      <c r="C642" s="4" t="s">
        <v>650</v>
      </c>
      <c r="D642" s="4" t="str">
        <f>"20220082110"</f>
        <v>20220082110</v>
      </c>
      <c r="E642" s="4" t="str">
        <f t="shared" si="124"/>
        <v>21</v>
      </c>
      <c r="F642" s="4" t="str">
        <f>"10"</f>
        <v>10</v>
      </c>
      <c r="G642" s="5">
        <v>60.31</v>
      </c>
      <c r="H642" s="5" t="s">
        <v>14</v>
      </c>
      <c r="I642" s="5">
        <v>63.8</v>
      </c>
      <c r="J642" s="5" t="s">
        <v>14</v>
      </c>
      <c r="K642" s="7">
        <v>62.75</v>
      </c>
      <c r="L642" s="8">
        <v>47</v>
      </c>
      <c r="M642" s="9"/>
    </row>
    <row r="643" s="1" customFormat="1" ht="20.1" customHeight="1" spans="1:13">
      <c r="A643" s="4" t="str">
        <f>"37502022030206155524784"</f>
        <v>37502022030206155524784</v>
      </c>
      <c r="B643" s="4" t="s">
        <v>603</v>
      </c>
      <c r="C643" s="4" t="s">
        <v>651</v>
      </c>
      <c r="D643" s="4" t="str">
        <f>"20220082102"</f>
        <v>20220082102</v>
      </c>
      <c r="E643" s="4" t="str">
        <f t="shared" si="124"/>
        <v>21</v>
      </c>
      <c r="F643" s="4" t="str">
        <f>"02"</f>
        <v>02</v>
      </c>
      <c r="G643" s="5">
        <v>57.91</v>
      </c>
      <c r="H643" s="5" t="s">
        <v>14</v>
      </c>
      <c r="I643" s="5">
        <v>64.1</v>
      </c>
      <c r="J643" s="5" t="s">
        <v>14</v>
      </c>
      <c r="K643" s="7">
        <v>62.24</v>
      </c>
      <c r="L643" s="8">
        <v>48</v>
      </c>
      <c r="M643" s="9"/>
    </row>
    <row r="644" s="1" customFormat="1" ht="20.1" customHeight="1" spans="1:13">
      <c r="A644" s="4" t="str">
        <f>"37502022022720023820742"</f>
        <v>37502022022720023820742</v>
      </c>
      <c r="B644" s="4" t="s">
        <v>603</v>
      </c>
      <c r="C644" s="4" t="s">
        <v>474</v>
      </c>
      <c r="D644" s="4" t="str">
        <f>"20220082217"</f>
        <v>20220082217</v>
      </c>
      <c r="E644" s="4" t="str">
        <f t="shared" ref="E644:E650" si="125">"22"</f>
        <v>22</v>
      </c>
      <c r="F644" s="4" t="str">
        <f>"17"</f>
        <v>17</v>
      </c>
      <c r="G644" s="5">
        <v>0</v>
      </c>
      <c r="H644" s="5" t="s">
        <v>74</v>
      </c>
      <c r="I644" s="5">
        <v>0</v>
      </c>
      <c r="J644" s="5" t="s">
        <v>74</v>
      </c>
      <c r="K644" s="7">
        <v>0</v>
      </c>
      <c r="L644" s="8">
        <v>49</v>
      </c>
      <c r="M644" s="9"/>
    </row>
    <row r="645" s="1" customFormat="1" ht="20.1" customHeight="1" spans="1:13">
      <c r="A645" s="4" t="str">
        <f>"37502022022808193021307"</f>
        <v>37502022022808193021307</v>
      </c>
      <c r="B645" s="4" t="s">
        <v>603</v>
      </c>
      <c r="C645" s="4" t="s">
        <v>652</v>
      </c>
      <c r="D645" s="4" t="str">
        <f>"20220082213"</f>
        <v>20220082213</v>
      </c>
      <c r="E645" s="4" t="str">
        <f t="shared" si="125"/>
        <v>22</v>
      </c>
      <c r="F645" s="4" t="str">
        <f>"13"</f>
        <v>13</v>
      </c>
      <c r="G645" s="5">
        <v>0</v>
      </c>
      <c r="H645" s="5" t="s">
        <v>74</v>
      </c>
      <c r="I645" s="5">
        <v>0</v>
      </c>
      <c r="J645" s="5" t="s">
        <v>74</v>
      </c>
      <c r="K645" s="7">
        <v>0</v>
      </c>
      <c r="L645" s="8">
        <v>49</v>
      </c>
      <c r="M645" s="9"/>
    </row>
    <row r="646" s="1" customFormat="1" ht="20.1" customHeight="1" spans="1:13">
      <c r="A646" s="4" t="str">
        <f>"37502022022815113022427"</f>
        <v>37502022022815113022427</v>
      </c>
      <c r="B646" s="4" t="s">
        <v>603</v>
      </c>
      <c r="C646" s="4" t="s">
        <v>653</v>
      </c>
      <c r="D646" s="4" t="str">
        <f>"20220082107"</f>
        <v>20220082107</v>
      </c>
      <c r="E646" s="4" t="str">
        <f t="shared" ref="E646:E652" si="126">"21"</f>
        <v>21</v>
      </c>
      <c r="F646" s="4" t="str">
        <f>"07"</f>
        <v>07</v>
      </c>
      <c r="G646" s="5">
        <v>0</v>
      </c>
      <c r="H646" s="5" t="s">
        <v>74</v>
      </c>
      <c r="I646" s="5">
        <v>0</v>
      </c>
      <c r="J646" s="5" t="s">
        <v>74</v>
      </c>
      <c r="K646" s="7">
        <v>0</v>
      </c>
      <c r="L646" s="8">
        <v>49</v>
      </c>
      <c r="M646" s="9"/>
    </row>
    <row r="647" s="1" customFormat="1" ht="20.1" customHeight="1" spans="1:13">
      <c r="A647" s="4" t="str">
        <f>"37502022022816135322632"</f>
        <v>37502022022816135322632</v>
      </c>
      <c r="B647" s="4" t="s">
        <v>603</v>
      </c>
      <c r="C647" s="4" t="s">
        <v>654</v>
      </c>
      <c r="D647" s="4" t="str">
        <f>"20220082122"</f>
        <v>20220082122</v>
      </c>
      <c r="E647" s="4" t="str">
        <f t="shared" si="126"/>
        <v>21</v>
      </c>
      <c r="F647" s="4" t="str">
        <f>"22"</f>
        <v>22</v>
      </c>
      <c r="G647" s="5">
        <v>0</v>
      </c>
      <c r="H647" s="5" t="s">
        <v>74</v>
      </c>
      <c r="I647" s="5">
        <v>0</v>
      </c>
      <c r="J647" s="5" t="s">
        <v>74</v>
      </c>
      <c r="K647" s="7">
        <v>0</v>
      </c>
      <c r="L647" s="8">
        <v>49</v>
      </c>
      <c r="M647" s="9"/>
    </row>
    <row r="648" s="1" customFormat="1" ht="20.1" customHeight="1" spans="1:13">
      <c r="A648" s="4" t="str">
        <f>"37502022022816534622752"</f>
        <v>37502022022816534622752</v>
      </c>
      <c r="B648" s="4" t="s">
        <v>603</v>
      </c>
      <c r="C648" s="4" t="s">
        <v>655</v>
      </c>
      <c r="D648" s="4" t="str">
        <f>"20220082030"</f>
        <v>20220082030</v>
      </c>
      <c r="E648" s="4" t="str">
        <f>"20"</f>
        <v>20</v>
      </c>
      <c r="F648" s="4" t="str">
        <f>"30"</f>
        <v>30</v>
      </c>
      <c r="G648" s="5">
        <v>0</v>
      </c>
      <c r="H648" s="5" t="s">
        <v>74</v>
      </c>
      <c r="I648" s="5">
        <v>0</v>
      </c>
      <c r="J648" s="5" t="s">
        <v>74</v>
      </c>
      <c r="K648" s="7">
        <v>0</v>
      </c>
      <c r="L648" s="8">
        <v>49</v>
      </c>
      <c r="M648" s="9"/>
    </row>
    <row r="649" s="1" customFormat="1" ht="20.1" customHeight="1" spans="1:13">
      <c r="A649" s="4" t="str">
        <f>"37502022022819511422918"</f>
        <v>37502022022819511422918</v>
      </c>
      <c r="B649" s="4" t="s">
        <v>603</v>
      </c>
      <c r="C649" s="4" t="s">
        <v>656</v>
      </c>
      <c r="D649" s="4" t="str">
        <f>"20220082220"</f>
        <v>20220082220</v>
      </c>
      <c r="E649" s="4" t="str">
        <f t="shared" si="125"/>
        <v>22</v>
      </c>
      <c r="F649" s="4" t="str">
        <f>"20"</f>
        <v>20</v>
      </c>
      <c r="G649" s="5">
        <v>0</v>
      </c>
      <c r="H649" s="5" t="s">
        <v>74</v>
      </c>
      <c r="I649" s="5">
        <v>0</v>
      </c>
      <c r="J649" s="5" t="s">
        <v>74</v>
      </c>
      <c r="K649" s="7">
        <v>0</v>
      </c>
      <c r="L649" s="8">
        <v>49</v>
      </c>
      <c r="M649" s="9"/>
    </row>
    <row r="650" s="1" customFormat="1" ht="20.1" customHeight="1" spans="1:13">
      <c r="A650" s="4" t="str">
        <f>"37502022022819582722925"</f>
        <v>37502022022819582722925</v>
      </c>
      <c r="B650" s="4" t="s">
        <v>603</v>
      </c>
      <c r="C650" s="4" t="s">
        <v>657</v>
      </c>
      <c r="D650" s="4" t="str">
        <f>"20220082215"</f>
        <v>20220082215</v>
      </c>
      <c r="E650" s="4" t="str">
        <f t="shared" si="125"/>
        <v>22</v>
      </c>
      <c r="F650" s="4" t="str">
        <f>"15"</f>
        <v>15</v>
      </c>
      <c r="G650" s="5">
        <v>0</v>
      </c>
      <c r="H650" s="5" t="s">
        <v>74</v>
      </c>
      <c r="I650" s="5">
        <v>0</v>
      </c>
      <c r="J650" s="5" t="s">
        <v>74</v>
      </c>
      <c r="K650" s="7">
        <v>0</v>
      </c>
      <c r="L650" s="8">
        <v>49</v>
      </c>
      <c r="M650" s="9"/>
    </row>
    <row r="651" s="1" customFormat="1" ht="20.1" customHeight="1" spans="1:13">
      <c r="A651" s="4" t="str">
        <f>"37502022022820053022935"</f>
        <v>37502022022820053022935</v>
      </c>
      <c r="B651" s="4" t="s">
        <v>603</v>
      </c>
      <c r="C651" s="4" t="s">
        <v>658</v>
      </c>
      <c r="D651" s="4" t="str">
        <f>"20220082105"</f>
        <v>20220082105</v>
      </c>
      <c r="E651" s="4" t="str">
        <f t="shared" si="126"/>
        <v>21</v>
      </c>
      <c r="F651" s="4" t="str">
        <f>"05"</f>
        <v>05</v>
      </c>
      <c r="G651" s="5">
        <v>0</v>
      </c>
      <c r="H651" s="5" t="s">
        <v>74</v>
      </c>
      <c r="I651" s="5">
        <v>0</v>
      </c>
      <c r="J651" s="5" t="s">
        <v>74</v>
      </c>
      <c r="K651" s="7">
        <v>0</v>
      </c>
      <c r="L651" s="8">
        <v>49</v>
      </c>
      <c r="M651" s="9"/>
    </row>
    <row r="652" s="1" customFormat="1" ht="20.1" customHeight="1" spans="1:13">
      <c r="A652" s="4" t="str">
        <f>"37502022022823300923082"</f>
        <v>37502022022823300923082</v>
      </c>
      <c r="B652" s="4" t="s">
        <v>603</v>
      </c>
      <c r="C652" s="4" t="s">
        <v>659</v>
      </c>
      <c r="D652" s="4" t="str">
        <f>"20220082109"</f>
        <v>20220082109</v>
      </c>
      <c r="E652" s="4" t="str">
        <f t="shared" si="126"/>
        <v>21</v>
      </c>
      <c r="F652" s="4" t="str">
        <f>"09"</f>
        <v>09</v>
      </c>
      <c r="G652" s="5">
        <v>0</v>
      </c>
      <c r="H652" s="5" t="s">
        <v>74</v>
      </c>
      <c r="I652" s="5">
        <v>0</v>
      </c>
      <c r="J652" s="5" t="s">
        <v>74</v>
      </c>
      <c r="K652" s="7">
        <v>0</v>
      </c>
      <c r="L652" s="8">
        <v>49</v>
      </c>
      <c r="M652" s="9"/>
    </row>
    <row r="653" s="1" customFormat="1" ht="20.1" customHeight="1" spans="1:13">
      <c r="A653" s="4" t="str">
        <f>"37502022030108352523133"</f>
        <v>37502022030108352523133</v>
      </c>
      <c r="B653" s="4" t="s">
        <v>603</v>
      </c>
      <c r="C653" s="4" t="s">
        <v>660</v>
      </c>
      <c r="D653" s="4" t="str">
        <f>"20220082227"</f>
        <v>20220082227</v>
      </c>
      <c r="E653" s="4" t="str">
        <f t="shared" ref="E653:E658" si="127">"22"</f>
        <v>22</v>
      </c>
      <c r="F653" s="4" t="str">
        <f>"27"</f>
        <v>27</v>
      </c>
      <c r="G653" s="5">
        <v>0</v>
      </c>
      <c r="H653" s="5" t="s">
        <v>74</v>
      </c>
      <c r="I653" s="5">
        <v>0</v>
      </c>
      <c r="J653" s="5" t="s">
        <v>74</v>
      </c>
      <c r="K653" s="7">
        <v>0</v>
      </c>
      <c r="L653" s="8">
        <v>49</v>
      </c>
      <c r="M653" s="9"/>
    </row>
    <row r="654" s="1" customFormat="1" ht="20.1" customHeight="1" spans="1:13">
      <c r="A654" s="4" t="str">
        <f>"37502022030111063323490"</f>
        <v>37502022030111063323490</v>
      </c>
      <c r="B654" s="4" t="s">
        <v>603</v>
      </c>
      <c r="C654" s="4" t="s">
        <v>661</v>
      </c>
      <c r="D654" s="4" t="str">
        <f>"20220082025"</f>
        <v>20220082025</v>
      </c>
      <c r="E654" s="4" t="str">
        <f>"20"</f>
        <v>20</v>
      </c>
      <c r="F654" s="4" t="str">
        <f>"25"</f>
        <v>25</v>
      </c>
      <c r="G654" s="5">
        <v>0</v>
      </c>
      <c r="H654" s="5" t="s">
        <v>74</v>
      </c>
      <c r="I654" s="5">
        <v>0</v>
      </c>
      <c r="J654" s="5" t="s">
        <v>74</v>
      </c>
      <c r="K654" s="7">
        <v>0</v>
      </c>
      <c r="L654" s="8">
        <v>49</v>
      </c>
      <c r="M654" s="9"/>
    </row>
    <row r="655" s="1" customFormat="1" ht="20.1" customHeight="1" spans="1:13">
      <c r="A655" s="4" t="str">
        <f>"37502022030111373023555"</f>
        <v>37502022030111373023555</v>
      </c>
      <c r="B655" s="4" t="s">
        <v>603</v>
      </c>
      <c r="C655" s="4" t="s">
        <v>662</v>
      </c>
      <c r="D655" s="4" t="str">
        <f>"20220082228"</f>
        <v>20220082228</v>
      </c>
      <c r="E655" s="4" t="str">
        <f t="shared" si="127"/>
        <v>22</v>
      </c>
      <c r="F655" s="4" t="str">
        <f>"28"</f>
        <v>28</v>
      </c>
      <c r="G655" s="5">
        <v>0</v>
      </c>
      <c r="H655" s="5" t="s">
        <v>74</v>
      </c>
      <c r="I655" s="5">
        <v>0</v>
      </c>
      <c r="J655" s="5" t="s">
        <v>74</v>
      </c>
      <c r="K655" s="7">
        <v>0</v>
      </c>
      <c r="L655" s="8">
        <v>49</v>
      </c>
      <c r="M655" s="9"/>
    </row>
    <row r="656" s="1" customFormat="1" ht="20.1" customHeight="1" spans="1:13">
      <c r="A656" s="4" t="str">
        <f>"37502022030112173423620"</f>
        <v>37502022030112173423620</v>
      </c>
      <c r="B656" s="4" t="s">
        <v>603</v>
      </c>
      <c r="C656" s="4" t="s">
        <v>663</v>
      </c>
      <c r="D656" s="4" t="str">
        <f>"20220082101"</f>
        <v>20220082101</v>
      </c>
      <c r="E656" s="4" t="str">
        <f t="shared" ref="E656:E661" si="128">"21"</f>
        <v>21</v>
      </c>
      <c r="F656" s="4" t="str">
        <f>"01"</f>
        <v>01</v>
      </c>
      <c r="G656" s="5">
        <v>0</v>
      </c>
      <c r="H656" s="5" t="s">
        <v>74</v>
      </c>
      <c r="I656" s="5">
        <v>0</v>
      </c>
      <c r="J656" s="5" t="s">
        <v>74</v>
      </c>
      <c r="K656" s="7">
        <v>0</v>
      </c>
      <c r="L656" s="8">
        <v>49</v>
      </c>
      <c r="M656" s="9"/>
    </row>
    <row r="657" s="1" customFormat="1" ht="20.1" customHeight="1" spans="1:13">
      <c r="A657" s="4" t="str">
        <f>"37502022030115124423888"</f>
        <v>37502022030115124423888</v>
      </c>
      <c r="B657" s="4" t="s">
        <v>603</v>
      </c>
      <c r="C657" s="4" t="s">
        <v>664</v>
      </c>
      <c r="D657" s="4" t="str">
        <f>"20220082210"</f>
        <v>20220082210</v>
      </c>
      <c r="E657" s="4" t="str">
        <f t="shared" si="127"/>
        <v>22</v>
      </c>
      <c r="F657" s="4" t="str">
        <f>"10"</f>
        <v>10</v>
      </c>
      <c r="G657" s="5">
        <v>0</v>
      </c>
      <c r="H657" s="5" t="s">
        <v>74</v>
      </c>
      <c r="I657" s="5">
        <v>0</v>
      </c>
      <c r="J657" s="5" t="s">
        <v>74</v>
      </c>
      <c r="K657" s="7">
        <v>0</v>
      </c>
      <c r="L657" s="8">
        <v>49</v>
      </c>
      <c r="M657" s="9"/>
    </row>
    <row r="658" s="1" customFormat="1" ht="20.1" customHeight="1" spans="1:13">
      <c r="A658" s="4" t="str">
        <f>"37502022030115524823962"</f>
        <v>37502022030115524823962</v>
      </c>
      <c r="B658" s="4" t="s">
        <v>603</v>
      </c>
      <c r="C658" s="4" t="s">
        <v>665</v>
      </c>
      <c r="D658" s="4" t="str">
        <f>"20220082206"</f>
        <v>20220082206</v>
      </c>
      <c r="E658" s="4" t="str">
        <f t="shared" si="127"/>
        <v>22</v>
      </c>
      <c r="F658" s="4" t="str">
        <f>"06"</f>
        <v>06</v>
      </c>
      <c r="G658" s="5">
        <v>0</v>
      </c>
      <c r="H658" s="5" t="s">
        <v>74</v>
      </c>
      <c r="I658" s="5">
        <v>0</v>
      </c>
      <c r="J658" s="5" t="s">
        <v>74</v>
      </c>
      <c r="K658" s="7">
        <v>0</v>
      </c>
      <c r="L658" s="8">
        <v>49</v>
      </c>
      <c r="M658" s="9"/>
    </row>
    <row r="659" s="1" customFormat="1" ht="20.1" customHeight="1" spans="1:13">
      <c r="A659" s="4" t="str">
        <f>"37502022030119032224300"</f>
        <v>37502022030119032224300</v>
      </c>
      <c r="B659" s="4" t="s">
        <v>603</v>
      </c>
      <c r="C659" s="4" t="s">
        <v>666</v>
      </c>
      <c r="D659" s="4" t="str">
        <f>"20220082303"</f>
        <v>20220082303</v>
      </c>
      <c r="E659" s="4" t="str">
        <f>"23"</f>
        <v>23</v>
      </c>
      <c r="F659" s="4" t="str">
        <f>"03"</f>
        <v>03</v>
      </c>
      <c r="G659" s="5">
        <v>0</v>
      </c>
      <c r="H659" s="5" t="s">
        <v>74</v>
      </c>
      <c r="I659" s="5">
        <v>0</v>
      </c>
      <c r="J659" s="5" t="s">
        <v>74</v>
      </c>
      <c r="K659" s="7">
        <v>0</v>
      </c>
      <c r="L659" s="8">
        <v>49</v>
      </c>
      <c r="M659" s="9"/>
    </row>
    <row r="660" s="1" customFormat="1" ht="20.1" customHeight="1" spans="1:13">
      <c r="A660" s="4" t="str">
        <f>"37502022030119155724328"</f>
        <v>37502022030119155724328</v>
      </c>
      <c r="B660" s="4" t="s">
        <v>603</v>
      </c>
      <c r="C660" s="4" t="s">
        <v>667</v>
      </c>
      <c r="D660" s="4" t="str">
        <f>"20220082114"</f>
        <v>20220082114</v>
      </c>
      <c r="E660" s="4" t="str">
        <f t="shared" si="128"/>
        <v>21</v>
      </c>
      <c r="F660" s="4" t="str">
        <f>"14"</f>
        <v>14</v>
      </c>
      <c r="G660" s="5">
        <v>0</v>
      </c>
      <c r="H660" s="5" t="s">
        <v>74</v>
      </c>
      <c r="I660" s="5">
        <v>0</v>
      </c>
      <c r="J660" s="5" t="s">
        <v>74</v>
      </c>
      <c r="K660" s="7">
        <v>0</v>
      </c>
      <c r="L660" s="8">
        <v>49</v>
      </c>
      <c r="M660" s="9"/>
    </row>
    <row r="661" s="1" customFormat="1" ht="20.1" customHeight="1" spans="1:13">
      <c r="A661" s="4" t="str">
        <f>"37502022030119172224333"</f>
        <v>37502022030119172224333</v>
      </c>
      <c r="B661" s="4" t="s">
        <v>603</v>
      </c>
      <c r="C661" s="4" t="s">
        <v>668</v>
      </c>
      <c r="D661" s="4" t="str">
        <f>"20220082116"</f>
        <v>20220082116</v>
      </c>
      <c r="E661" s="4" t="str">
        <f t="shared" si="128"/>
        <v>21</v>
      </c>
      <c r="F661" s="4" t="str">
        <f>"16"</f>
        <v>16</v>
      </c>
      <c r="G661" s="5">
        <v>0</v>
      </c>
      <c r="H661" s="5" t="s">
        <v>74</v>
      </c>
      <c r="I661" s="5">
        <v>0</v>
      </c>
      <c r="J661" s="5" t="s">
        <v>74</v>
      </c>
      <c r="K661" s="7">
        <v>0</v>
      </c>
      <c r="L661" s="8">
        <v>49</v>
      </c>
      <c r="M661" s="9"/>
    </row>
    <row r="662" s="1" customFormat="1" ht="20.1" customHeight="1" spans="1:13">
      <c r="A662" s="4" t="str">
        <f>"37502022030120014724414"</f>
        <v>37502022030120014724414</v>
      </c>
      <c r="B662" s="4" t="s">
        <v>603</v>
      </c>
      <c r="C662" s="4" t="s">
        <v>669</v>
      </c>
      <c r="D662" s="4" t="str">
        <f>"20220082204"</f>
        <v>20220082204</v>
      </c>
      <c r="E662" s="4" t="str">
        <f t="shared" ref="E662:E665" si="129">"22"</f>
        <v>22</v>
      </c>
      <c r="F662" s="4" t="str">
        <f>"04"</f>
        <v>04</v>
      </c>
      <c r="G662" s="5">
        <v>0</v>
      </c>
      <c r="H662" s="5" t="s">
        <v>74</v>
      </c>
      <c r="I662" s="5">
        <v>0</v>
      </c>
      <c r="J662" s="5" t="s">
        <v>74</v>
      </c>
      <c r="K662" s="7">
        <v>0</v>
      </c>
      <c r="L662" s="8">
        <v>49</v>
      </c>
      <c r="M662" s="9"/>
    </row>
    <row r="663" s="1" customFormat="1" ht="20.1" customHeight="1" spans="1:13">
      <c r="A663" s="4" t="str">
        <f>"37502022030200280124764"</f>
        <v>37502022030200280124764</v>
      </c>
      <c r="B663" s="4" t="s">
        <v>603</v>
      </c>
      <c r="C663" s="4" t="s">
        <v>670</v>
      </c>
      <c r="D663" s="4" t="str">
        <f>"20220082104"</f>
        <v>20220082104</v>
      </c>
      <c r="E663" s="4" t="str">
        <f>"21"</f>
        <v>21</v>
      </c>
      <c r="F663" s="4" t="str">
        <f>"04"</f>
        <v>04</v>
      </c>
      <c r="G663" s="5">
        <v>0</v>
      </c>
      <c r="H663" s="5" t="s">
        <v>74</v>
      </c>
      <c r="I663" s="5">
        <v>0</v>
      </c>
      <c r="J663" s="5" t="s">
        <v>74</v>
      </c>
      <c r="K663" s="7">
        <v>0</v>
      </c>
      <c r="L663" s="8">
        <v>49</v>
      </c>
      <c r="M663" s="9"/>
    </row>
    <row r="664" s="1" customFormat="1" ht="20.1" customHeight="1" spans="1:13">
      <c r="A664" s="4" t="str">
        <f>"37502022030216410625558"</f>
        <v>37502022030216410625558</v>
      </c>
      <c r="B664" s="4" t="s">
        <v>603</v>
      </c>
      <c r="C664" s="4" t="s">
        <v>41</v>
      </c>
      <c r="D664" s="4" t="str">
        <f>"20220082203"</f>
        <v>20220082203</v>
      </c>
      <c r="E664" s="4" t="str">
        <f t="shared" si="129"/>
        <v>22</v>
      </c>
      <c r="F664" s="4" t="str">
        <f>"03"</f>
        <v>03</v>
      </c>
      <c r="G664" s="5">
        <v>0</v>
      </c>
      <c r="H664" s="5" t="s">
        <v>74</v>
      </c>
      <c r="I664" s="5">
        <v>0</v>
      </c>
      <c r="J664" s="5" t="s">
        <v>74</v>
      </c>
      <c r="K664" s="7">
        <v>0</v>
      </c>
      <c r="L664" s="8">
        <v>49</v>
      </c>
      <c r="M664" s="9"/>
    </row>
    <row r="665" s="1" customFormat="1" ht="20.1" customHeight="1" spans="1:13">
      <c r="A665" s="4" t="str">
        <f>"37502022030222324526118"</f>
        <v>37502022030222324526118</v>
      </c>
      <c r="B665" s="4" t="s">
        <v>603</v>
      </c>
      <c r="C665" s="4" t="s">
        <v>671</v>
      </c>
      <c r="D665" s="4" t="str">
        <f>"20220082218"</f>
        <v>20220082218</v>
      </c>
      <c r="E665" s="4" t="str">
        <f t="shared" si="129"/>
        <v>22</v>
      </c>
      <c r="F665" s="4" t="str">
        <f>"18"</f>
        <v>18</v>
      </c>
      <c r="G665" s="5">
        <v>0</v>
      </c>
      <c r="H665" s="5" t="s">
        <v>74</v>
      </c>
      <c r="I665" s="5">
        <v>0</v>
      </c>
      <c r="J665" s="5" t="s">
        <v>74</v>
      </c>
      <c r="K665" s="7">
        <v>0</v>
      </c>
      <c r="L665" s="8">
        <v>49</v>
      </c>
      <c r="M665" s="9"/>
    </row>
    <row r="666" s="1" customFormat="1" ht="20.1" customHeight="1" spans="1:13">
      <c r="A666" s="4" t="str">
        <f>"37502022030119255424353"</f>
        <v>37502022030119255424353</v>
      </c>
      <c r="B666" s="4" t="s">
        <v>672</v>
      </c>
      <c r="C666" s="4" t="s">
        <v>673</v>
      </c>
      <c r="D666" s="4" t="str">
        <f>"20220092307"</f>
        <v>20220092307</v>
      </c>
      <c r="E666" s="4" t="str">
        <f t="shared" ref="E666:E670" si="130">"23"</f>
        <v>23</v>
      </c>
      <c r="F666" s="4" t="str">
        <f>"07"</f>
        <v>07</v>
      </c>
      <c r="G666" s="5">
        <v>82.82</v>
      </c>
      <c r="H666" s="5" t="s">
        <v>14</v>
      </c>
      <c r="I666" s="5">
        <v>82.9</v>
      </c>
      <c r="J666" s="5" t="s">
        <v>14</v>
      </c>
      <c r="K666" s="7">
        <v>82.88</v>
      </c>
      <c r="L666" s="8">
        <v>1</v>
      </c>
      <c r="M666" s="9"/>
    </row>
    <row r="667" s="1" customFormat="1" ht="20.1" customHeight="1" spans="1:13">
      <c r="A667" s="4" t="str">
        <f>"37502022030110163723362"</f>
        <v>37502022030110163723362</v>
      </c>
      <c r="B667" s="4" t="s">
        <v>672</v>
      </c>
      <c r="C667" s="4" t="s">
        <v>674</v>
      </c>
      <c r="D667" s="4" t="str">
        <f>"20220092310"</f>
        <v>20220092310</v>
      </c>
      <c r="E667" s="4" t="str">
        <f t="shared" si="130"/>
        <v>23</v>
      </c>
      <c r="F667" s="4" t="str">
        <f>"10"</f>
        <v>10</v>
      </c>
      <c r="G667" s="5">
        <v>79.05</v>
      </c>
      <c r="H667" s="5" t="s">
        <v>14</v>
      </c>
      <c r="I667" s="5">
        <v>81.6</v>
      </c>
      <c r="J667" s="5" t="s">
        <v>14</v>
      </c>
      <c r="K667" s="7">
        <v>80.84</v>
      </c>
      <c r="L667" s="8">
        <v>2</v>
      </c>
      <c r="M667" s="9"/>
    </row>
    <row r="668" s="1" customFormat="1" ht="20.1" customHeight="1" spans="1:13">
      <c r="A668" s="4" t="str">
        <f>"37502022022816503822747"</f>
        <v>37502022022816503822747</v>
      </c>
      <c r="B668" s="4" t="s">
        <v>672</v>
      </c>
      <c r="C668" s="4" t="s">
        <v>675</v>
      </c>
      <c r="D668" s="4" t="str">
        <f>"20220092409"</f>
        <v>20220092409</v>
      </c>
      <c r="E668" s="4" t="str">
        <f t="shared" ref="E668:E673" si="131">"24"</f>
        <v>24</v>
      </c>
      <c r="F668" s="4" t="str">
        <f>"09"</f>
        <v>09</v>
      </c>
      <c r="G668" s="5">
        <v>79.53</v>
      </c>
      <c r="H668" s="5" t="s">
        <v>14</v>
      </c>
      <c r="I668" s="5">
        <v>81.3</v>
      </c>
      <c r="J668" s="5" t="s">
        <v>14</v>
      </c>
      <c r="K668" s="7">
        <v>80.77</v>
      </c>
      <c r="L668" s="8">
        <v>3</v>
      </c>
      <c r="M668" s="9"/>
    </row>
    <row r="669" s="1" customFormat="1" ht="20.1" customHeight="1" spans="1:13">
      <c r="A669" s="4" t="str">
        <f>"37502022022614033019199"</f>
        <v>37502022022614033019199</v>
      </c>
      <c r="B669" s="4" t="s">
        <v>672</v>
      </c>
      <c r="C669" s="4" t="s">
        <v>676</v>
      </c>
      <c r="D669" s="4" t="str">
        <f>"20220092414"</f>
        <v>20220092414</v>
      </c>
      <c r="E669" s="4" t="str">
        <f t="shared" si="131"/>
        <v>24</v>
      </c>
      <c r="F669" s="4" t="str">
        <f>"14"</f>
        <v>14</v>
      </c>
      <c r="G669" s="5">
        <v>75.78</v>
      </c>
      <c r="H669" s="5" t="s">
        <v>14</v>
      </c>
      <c r="I669" s="5">
        <v>79.6</v>
      </c>
      <c r="J669" s="5" t="s">
        <v>14</v>
      </c>
      <c r="K669" s="7">
        <v>78.45</v>
      </c>
      <c r="L669" s="8">
        <v>4</v>
      </c>
      <c r="M669" s="9"/>
    </row>
    <row r="670" s="1" customFormat="1" ht="20.1" customHeight="1" spans="1:13">
      <c r="A670" s="4" t="str">
        <f>"37502022022610102118849"</f>
        <v>37502022022610102118849</v>
      </c>
      <c r="B670" s="4" t="s">
        <v>672</v>
      </c>
      <c r="C670" s="4" t="s">
        <v>677</v>
      </c>
      <c r="D670" s="4" t="str">
        <f>"20220092318"</f>
        <v>20220092318</v>
      </c>
      <c r="E670" s="4" t="str">
        <f t="shared" si="130"/>
        <v>23</v>
      </c>
      <c r="F670" s="4" t="str">
        <f>"18"</f>
        <v>18</v>
      </c>
      <c r="G670" s="5">
        <v>78.35</v>
      </c>
      <c r="H670" s="5" t="s">
        <v>14</v>
      </c>
      <c r="I670" s="5">
        <v>77.5</v>
      </c>
      <c r="J670" s="5" t="s">
        <v>14</v>
      </c>
      <c r="K670" s="7">
        <v>77.76</v>
      </c>
      <c r="L670" s="8">
        <v>5</v>
      </c>
      <c r="M670" s="9"/>
    </row>
    <row r="671" s="1" customFormat="1" ht="20.1" customHeight="1" spans="1:13">
      <c r="A671" s="4" t="str">
        <f>"37502022030117350524141"</f>
        <v>37502022030117350524141</v>
      </c>
      <c r="B671" s="4" t="s">
        <v>672</v>
      </c>
      <c r="C671" s="4" t="s">
        <v>678</v>
      </c>
      <c r="D671" s="4" t="str">
        <f>"20220092410"</f>
        <v>20220092410</v>
      </c>
      <c r="E671" s="4" t="str">
        <f t="shared" si="131"/>
        <v>24</v>
      </c>
      <c r="F671" s="4" t="str">
        <f>"10"</f>
        <v>10</v>
      </c>
      <c r="G671" s="5">
        <v>76.08</v>
      </c>
      <c r="H671" s="5" t="s">
        <v>14</v>
      </c>
      <c r="I671" s="5">
        <v>78.4</v>
      </c>
      <c r="J671" s="5" t="s">
        <v>14</v>
      </c>
      <c r="K671" s="7">
        <v>77.7</v>
      </c>
      <c r="L671" s="8">
        <v>6</v>
      </c>
      <c r="M671" s="9"/>
    </row>
    <row r="672" s="1" customFormat="1" ht="20.1" customHeight="1" spans="1:13">
      <c r="A672" s="4" t="str">
        <f>"37502022022615140819294"</f>
        <v>37502022022615140819294</v>
      </c>
      <c r="B672" s="4" t="s">
        <v>672</v>
      </c>
      <c r="C672" s="4" t="s">
        <v>679</v>
      </c>
      <c r="D672" s="4" t="str">
        <f>"20220092403"</f>
        <v>20220092403</v>
      </c>
      <c r="E672" s="4" t="str">
        <f t="shared" si="131"/>
        <v>24</v>
      </c>
      <c r="F672" s="4" t="str">
        <f>"03"</f>
        <v>03</v>
      </c>
      <c r="G672" s="5">
        <v>74.73</v>
      </c>
      <c r="H672" s="5" t="s">
        <v>14</v>
      </c>
      <c r="I672" s="5">
        <v>78.7</v>
      </c>
      <c r="J672" s="5" t="s">
        <v>14</v>
      </c>
      <c r="K672" s="7">
        <v>77.51</v>
      </c>
      <c r="L672" s="8">
        <v>7</v>
      </c>
      <c r="M672" s="9"/>
    </row>
    <row r="673" s="1" customFormat="1" ht="20.1" customHeight="1" spans="1:13">
      <c r="A673" s="4" t="str">
        <f>"37502022022609505318797"</f>
        <v>37502022022609505318797</v>
      </c>
      <c r="B673" s="4" t="s">
        <v>672</v>
      </c>
      <c r="C673" s="4" t="s">
        <v>680</v>
      </c>
      <c r="D673" s="4" t="str">
        <f>"20220092423"</f>
        <v>20220092423</v>
      </c>
      <c r="E673" s="4" t="str">
        <f t="shared" si="131"/>
        <v>24</v>
      </c>
      <c r="F673" s="4" t="str">
        <f>"23"</f>
        <v>23</v>
      </c>
      <c r="G673" s="5">
        <v>74.65</v>
      </c>
      <c r="H673" s="5" t="s">
        <v>14</v>
      </c>
      <c r="I673" s="5">
        <v>77</v>
      </c>
      <c r="J673" s="5" t="s">
        <v>14</v>
      </c>
      <c r="K673" s="7">
        <v>76.3</v>
      </c>
      <c r="L673" s="8">
        <v>8</v>
      </c>
      <c r="M673" s="9"/>
    </row>
    <row r="674" s="1" customFormat="1" ht="20.1" customHeight="1" spans="1:13">
      <c r="A674" s="4" t="str">
        <f>"37502022030118542724279"</f>
        <v>37502022030118542724279</v>
      </c>
      <c r="B674" s="4" t="s">
        <v>672</v>
      </c>
      <c r="C674" s="4" t="s">
        <v>624</v>
      </c>
      <c r="D674" s="4" t="str">
        <f>"20220092501"</f>
        <v>20220092501</v>
      </c>
      <c r="E674" s="4" t="str">
        <f>"25"</f>
        <v>25</v>
      </c>
      <c r="F674" s="4" t="str">
        <f>"01"</f>
        <v>01</v>
      </c>
      <c r="G674" s="5">
        <v>71.6</v>
      </c>
      <c r="H674" s="5" t="s">
        <v>14</v>
      </c>
      <c r="I674" s="5">
        <v>78.1</v>
      </c>
      <c r="J674" s="5" t="s">
        <v>14</v>
      </c>
      <c r="K674" s="7">
        <v>76.15</v>
      </c>
      <c r="L674" s="8">
        <v>9</v>
      </c>
      <c r="M674" s="9"/>
    </row>
    <row r="675" s="1" customFormat="1" ht="20.1" customHeight="1" spans="1:13">
      <c r="A675" s="4" t="str">
        <f>"37502022022618540819523"</f>
        <v>37502022022618540819523</v>
      </c>
      <c r="B675" s="4" t="s">
        <v>672</v>
      </c>
      <c r="C675" s="4" t="s">
        <v>681</v>
      </c>
      <c r="D675" s="4" t="str">
        <f>"20220092305"</f>
        <v>20220092305</v>
      </c>
      <c r="E675" s="4" t="str">
        <f t="shared" ref="E675:E678" si="132">"23"</f>
        <v>23</v>
      </c>
      <c r="F675" s="4" t="str">
        <f>"05"</f>
        <v>05</v>
      </c>
      <c r="G675" s="5">
        <v>62.6</v>
      </c>
      <c r="H675" s="5" t="s">
        <v>14</v>
      </c>
      <c r="I675" s="5">
        <v>81.9</v>
      </c>
      <c r="J675" s="5" t="s">
        <v>14</v>
      </c>
      <c r="K675" s="7">
        <v>76.11</v>
      </c>
      <c r="L675" s="8">
        <v>10</v>
      </c>
      <c r="M675" s="9"/>
    </row>
    <row r="676" s="1" customFormat="1" ht="20.1" customHeight="1" spans="1:13">
      <c r="A676" s="4" t="str">
        <f>"37502022022715505320380"</f>
        <v>37502022022715505320380</v>
      </c>
      <c r="B676" s="4" t="s">
        <v>672</v>
      </c>
      <c r="C676" s="4" t="s">
        <v>682</v>
      </c>
      <c r="D676" s="4" t="str">
        <f>"20220092314"</f>
        <v>20220092314</v>
      </c>
      <c r="E676" s="4" t="str">
        <f t="shared" si="132"/>
        <v>23</v>
      </c>
      <c r="F676" s="4" t="str">
        <f>"14"</f>
        <v>14</v>
      </c>
      <c r="G676" s="5">
        <v>76.07</v>
      </c>
      <c r="H676" s="5" t="s">
        <v>14</v>
      </c>
      <c r="I676" s="5">
        <v>75.8</v>
      </c>
      <c r="J676" s="5" t="s">
        <v>14</v>
      </c>
      <c r="K676" s="7">
        <v>75.88</v>
      </c>
      <c r="L676" s="8">
        <v>11</v>
      </c>
      <c r="M676" s="9"/>
    </row>
    <row r="677" s="1" customFormat="1" ht="20.1" customHeight="1" spans="1:13">
      <c r="A677" s="4" t="str">
        <f>"37502022030110572823463"</f>
        <v>37502022030110572823463</v>
      </c>
      <c r="B677" s="4" t="s">
        <v>672</v>
      </c>
      <c r="C677" s="4" t="s">
        <v>683</v>
      </c>
      <c r="D677" s="4" t="str">
        <f>"20220092329"</f>
        <v>20220092329</v>
      </c>
      <c r="E677" s="4" t="str">
        <f t="shared" si="132"/>
        <v>23</v>
      </c>
      <c r="F677" s="4" t="str">
        <f>"29"</f>
        <v>29</v>
      </c>
      <c r="G677" s="5">
        <v>71.06</v>
      </c>
      <c r="H677" s="5" t="s">
        <v>14</v>
      </c>
      <c r="I677" s="5">
        <v>77.6</v>
      </c>
      <c r="J677" s="5" t="s">
        <v>14</v>
      </c>
      <c r="K677" s="7">
        <v>75.64</v>
      </c>
      <c r="L677" s="8">
        <v>12</v>
      </c>
      <c r="M677" s="9"/>
    </row>
    <row r="678" s="1" customFormat="1" ht="20.1" customHeight="1" spans="1:13">
      <c r="A678" s="4" t="str">
        <f>"37502022030108590223168"</f>
        <v>37502022030108590223168</v>
      </c>
      <c r="B678" s="4" t="s">
        <v>672</v>
      </c>
      <c r="C678" s="4" t="s">
        <v>684</v>
      </c>
      <c r="D678" s="4" t="str">
        <f>"20220092309"</f>
        <v>20220092309</v>
      </c>
      <c r="E678" s="4" t="str">
        <f t="shared" si="132"/>
        <v>23</v>
      </c>
      <c r="F678" s="4" t="str">
        <f>"09"</f>
        <v>09</v>
      </c>
      <c r="G678" s="5">
        <v>73.78</v>
      </c>
      <c r="H678" s="5" t="s">
        <v>14</v>
      </c>
      <c r="I678" s="5">
        <v>76.4</v>
      </c>
      <c r="J678" s="5" t="s">
        <v>14</v>
      </c>
      <c r="K678" s="7">
        <v>75.61</v>
      </c>
      <c r="L678" s="8">
        <v>13</v>
      </c>
      <c r="M678" s="9"/>
    </row>
    <row r="679" s="1" customFormat="1" ht="20.1" customHeight="1" spans="1:13">
      <c r="A679" s="4" t="str">
        <f>"37502022030117104724111"</f>
        <v>37502022030117104724111</v>
      </c>
      <c r="B679" s="4" t="s">
        <v>672</v>
      </c>
      <c r="C679" s="4" t="s">
        <v>685</v>
      </c>
      <c r="D679" s="4" t="str">
        <f>"20220092424"</f>
        <v>20220092424</v>
      </c>
      <c r="E679" s="4" t="str">
        <f t="shared" ref="E679:E682" si="133">"24"</f>
        <v>24</v>
      </c>
      <c r="F679" s="4" t="str">
        <f>"24"</f>
        <v>24</v>
      </c>
      <c r="G679" s="5">
        <v>77.84</v>
      </c>
      <c r="H679" s="5" t="s">
        <v>14</v>
      </c>
      <c r="I679" s="5">
        <v>74.6</v>
      </c>
      <c r="J679" s="5" t="s">
        <v>14</v>
      </c>
      <c r="K679" s="7">
        <v>75.57</v>
      </c>
      <c r="L679" s="8">
        <v>14</v>
      </c>
      <c r="M679" s="9"/>
    </row>
    <row r="680" s="1" customFormat="1" ht="20.1" customHeight="1" spans="1:13">
      <c r="A680" s="4" t="str">
        <f>"37502022022719273820667"</f>
        <v>37502022022719273820667</v>
      </c>
      <c r="B680" s="4" t="s">
        <v>672</v>
      </c>
      <c r="C680" s="4" t="s">
        <v>686</v>
      </c>
      <c r="D680" s="4" t="str">
        <f>"20220092415"</f>
        <v>20220092415</v>
      </c>
      <c r="E680" s="4" t="str">
        <f t="shared" si="133"/>
        <v>24</v>
      </c>
      <c r="F680" s="4" t="str">
        <f>"15"</f>
        <v>15</v>
      </c>
      <c r="G680" s="5">
        <v>72.9</v>
      </c>
      <c r="H680" s="5" t="s">
        <v>14</v>
      </c>
      <c r="I680" s="5">
        <v>76.7</v>
      </c>
      <c r="J680" s="5" t="s">
        <v>14</v>
      </c>
      <c r="K680" s="7">
        <v>75.56</v>
      </c>
      <c r="L680" s="8">
        <v>15</v>
      </c>
      <c r="M680" s="9"/>
    </row>
    <row r="681" s="1" customFormat="1" ht="20.1" customHeight="1" spans="1:13">
      <c r="A681" s="4" t="str">
        <f>"37502022022612282719089"</f>
        <v>37502022022612282719089</v>
      </c>
      <c r="B681" s="4" t="s">
        <v>672</v>
      </c>
      <c r="C681" s="4" t="s">
        <v>687</v>
      </c>
      <c r="D681" s="4" t="str">
        <f>"20220092430"</f>
        <v>20220092430</v>
      </c>
      <c r="E681" s="4" t="str">
        <f t="shared" si="133"/>
        <v>24</v>
      </c>
      <c r="F681" s="4" t="str">
        <f>"30"</f>
        <v>30</v>
      </c>
      <c r="G681" s="5">
        <v>76.1</v>
      </c>
      <c r="H681" s="5" t="s">
        <v>14</v>
      </c>
      <c r="I681" s="5">
        <v>75.2</v>
      </c>
      <c r="J681" s="5" t="s">
        <v>14</v>
      </c>
      <c r="K681" s="7">
        <v>75.47</v>
      </c>
      <c r="L681" s="8">
        <v>16</v>
      </c>
      <c r="M681" s="9"/>
    </row>
    <row r="682" s="1" customFormat="1" ht="20.1" customHeight="1" spans="1:13">
      <c r="A682" s="4" t="str">
        <f>"37502022030119173924336"</f>
        <v>37502022030119173924336</v>
      </c>
      <c r="B682" s="4" t="s">
        <v>672</v>
      </c>
      <c r="C682" s="4" t="s">
        <v>688</v>
      </c>
      <c r="D682" s="4" t="str">
        <f>"20220092407"</f>
        <v>20220092407</v>
      </c>
      <c r="E682" s="4" t="str">
        <f t="shared" si="133"/>
        <v>24</v>
      </c>
      <c r="F682" s="4" t="str">
        <f>"07"</f>
        <v>07</v>
      </c>
      <c r="G682" s="5">
        <v>73.33</v>
      </c>
      <c r="H682" s="5" t="s">
        <v>14</v>
      </c>
      <c r="I682" s="5">
        <v>75.9</v>
      </c>
      <c r="J682" s="5" t="s">
        <v>14</v>
      </c>
      <c r="K682" s="7">
        <v>75.13</v>
      </c>
      <c r="L682" s="8">
        <v>17</v>
      </c>
      <c r="M682" s="9"/>
    </row>
    <row r="683" s="1" customFormat="1" ht="20.1" customHeight="1" spans="1:13">
      <c r="A683" s="4" t="str">
        <f>"37502022022712363520106"</f>
        <v>37502022022712363520106</v>
      </c>
      <c r="B683" s="4" t="s">
        <v>672</v>
      </c>
      <c r="C683" s="4" t="s">
        <v>689</v>
      </c>
      <c r="D683" s="4" t="str">
        <f>"20220092315"</f>
        <v>20220092315</v>
      </c>
      <c r="E683" s="4" t="str">
        <f t="shared" ref="E683:E686" si="134">"23"</f>
        <v>23</v>
      </c>
      <c r="F683" s="4" t="str">
        <f>"15"</f>
        <v>15</v>
      </c>
      <c r="G683" s="5">
        <v>74.51</v>
      </c>
      <c r="H683" s="5" t="s">
        <v>14</v>
      </c>
      <c r="I683" s="5">
        <v>75.2</v>
      </c>
      <c r="J683" s="5" t="s">
        <v>14</v>
      </c>
      <c r="K683" s="7">
        <v>74.99</v>
      </c>
      <c r="L683" s="8">
        <v>18</v>
      </c>
      <c r="M683" s="9"/>
    </row>
    <row r="684" s="1" customFormat="1" ht="20.1" customHeight="1" spans="1:13">
      <c r="A684" s="4" t="str">
        <f>"37502022030123163124735"</f>
        <v>37502022030123163124735</v>
      </c>
      <c r="B684" s="4" t="s">
        <v>672</v>
      </c>
      <c r="C684" s="4" t="s">
        <v>690</v>
      </c>
      <c r="D684" s="4" t="str">
        <f>"20220092322"</f>
        <v>20220092322</v>
      </c>
      <c r="E684" s="4" t="str">
        <f t="shared" si="134"/>
        <v>23</v>
      </c>
      <c r="F684" s="4" t="str">
        <f>"22"</f>
        <v>22</v>
      </c>
      <c r="G684" s="5">
        <v>72.48</v>
      </c>
      <c r="H684" s="5" t="s">
        <v>14</v>
      </c>
      <c r="I684" s="5">
        <v>75.7</v>
      </c>
      <c r="J684" s="5" t="s">
        <v>14</v>
      </c>
      <c r="K684" s="7">
        <v>74.73</v>
      </c>
      <c r="L684" s="8">
        <v>19</v>
      </c>
      <c r="M684" s="9"/>
    </row>
    <row r="685" s="1" customFormat="1" ht="20.1" customHeight="1" spans="1:13">
      <c r="A685" s="4" t="str">
        <f>"37502022022608523718657"</f>
        <v>37502022022608523718657</v>
      </c>
      <c r="B685" s="4" t="s">
        <v>672</v>
      </c>
      <c r="C685" s="4" t="s">
        <v>691</v>
      </c>
      <c r="D685" s="4" t="str">
        <f>"20220092401"</f>
        <v>20220092401</v>
      </c>
      <c r="E685" s="4" t="str">
        <f t="shared" ref="E685:E689" si="135">"24"</f>
        <v>24</v>
      </c>
      <c r="F685" s="4" t="str">
        <f>"01"</f>
        <v>01</v>
      </c>
      <c r="G685" s="5">
        <v>66.36</v>
      </c>
      <c r="H685" s="5" t="s">
        <v>14</v>
      </c>
      <c r="I685" s="5">
        <v>78.1</v>
      </c>
      <c r="J685" s="5" t="s">
        <v>14</v>
      </c>
      <c r="K685" s="7">
        <v>74.58</v>
      </c>
      <c r="L685" s="8">
        <v>20</v>
      </c>
      <c r="M685" s="9"/>
    </row>
    <row r="686" s="1" customFormat="1" ht="20.1" customHeight="1" spans="1:13">
      <c r="A686" s="4" t="str">
        <f>"37502022030110144623357"</f>
        <v>37502022030110144623357</v>
      </c>
      <c r="B686" s="4" t="s">
        <v>672</v>
      </c>
      <c r="C686" s="4" t="s">
        <v>692</v>
      </c>
      <c r="D686" s="4" t="str">
        <f>"20220092313"</f>
        <v>20220092313</v>
      </c>
      <c r="E686" s="4" t="str">
        <f t="shared" si="134"/>
        <v>23</v>
      </c>
      <c r="F686" s="4" t="str">
        <f>"13"</f>
        <v>13</v>
      </c>
      <c r="G686" s="5">
        <v>72.33</v>
      </c>
      <c r="H686" s="5" t="s">
        <v>14</v>
      </c>
      <c r="I686" s="5">
        <v>75.4</v>
      </c>
      <c r="J686" s="5" t="s">
        <v>14</v>
      </c>
      <c r="K686" s="7">
        <v>74.48</v>
      </c>
      <c r="L686" s="8">
        <v>21</v>
      </c>
      <c r="M686" s="9"/>
    </row>
    <row r="687" s="1" customFormat="1" ht="20.1" customHeight="1" spans="1:13">
      <c r="A687" s="4" t="str">
        <f>"37502022022622342519768"</f>
        <v>37502022022622342519768</v>
      </c>
      <c r="B687" s="4" t="s">
        <v>672</v>
      </c>
      <c r="C687" s="4" t="s">
        <v>693</v>
      </c>
      <c r="D687" s="4" t="str">
        <f>"20220092426"</f>
        <v>20220092426</v>
      </c>
      <c r="E687" s="4" t="str">
        <f t="shared" si="135"/>
        <v>24</v>
      </c>
      <c r="F687" s="4" t="str">
        <f>"26"</f>
        <v>26</v>
      </c>
      <c r="G687" s="5">
        <v>73.16</v>
      </c>
      <c r="H687" s="5" t="s">
        <v>14</v>
      </c>
      <c r="I687" s="5">
        <v>74.4</v>
      </c>
      <c r="J687" s="5" t="s">
        <v>14</v>
      </c>
      <c r="K687" s="7">
        <v>74.03</v>
      </c>
      <c r="L687" s="8">
        <v>22</v>
      </c>
      <c r="M687" s="9"/>
    </row>
    <row r="688" s="1" customFormat="1" ht="20.1" customHeight="1" spans="1:13">
      <c r="A688" s="4" t="str">
        <f>"37502022022820380822963"</f>
        <v>37502022022820380822963</v>
      </c>
      <c r="B688" s="4" t="s">
        <v>672</v>
      </c>
      <c r="C688" s="4" t="s">
        <v>694</v>
      </c>
      <c r="D688" s="4" t="str">
        <f>"20220092325"</f>
        <v>20220092325</v>
      </c>
      <c r="E688" s="4" t="str">
        <f t="shared" ref="E688:E691" si="136">"23"</f>
        <v>23</v>
      </c>
      <c r="F688" s="4" t="str">
        <f>"25"</f>
        <v>25</v>
      </c>
      <c r="G688" s="5">
        <v>73.6</v>
      </c>
      <c r="H688" s="5" t="s">
        <v>14</v>
      </c>
      <c r="I688" s="5">
        <v>74.2</v>
      </c>
      <c r="J688" s="5" t="s">
        <v>14</v>
      </c>
      <c r="K688" s="7">
        <v>74.02</v>
      </c>
      <c r="L688" s="8">
        <v>23</v>
      </c>
      <c r="M688" s="9"/>
    </row>
    <row r="689" s="1" customFormat="1" ht="20.1" customHeight="1" spans="1:13">
      <c r="A689" s="4" t="str">
        <f>"37502022030120094724424"</f>
        <v>37502022030120094724424</v>
      </c>
      <c r="B689" s="4" t="s">
        <v>672</v>
      </c>
      <c r="C689" s="4" t="s">
        <v>695</v>
      </c>
      <c r="D689" s="4" t="str">
        <f>"20220092427"</f>
        <v>20220092427</v>
      </c>
      <c r="E689" s="4" t="str">
        <f t="shared" si="135"/>
        <v>24</v>
      </c>
      <c r="F689" s="4" t="str">
        <f>"27"</f>
        <v>27</v>
      </c>
      <c r="G689" s="5">
        <v>72.15</v>
      </c>
      <c r="H689" s="5" t="s">
        <v>14</v>
      </c>
      <c r="I689" s="5">
        <v>74.6</v>
      </c>
      <c r="J689" s="5" t="s">
        <v>14</v>
      </c>
      <c r="K689" s="7">
        <v>73.87</v>
      </c>
      <c r="L689" s="8">
        <v>24</v>
      </c>
      <c r="M689" s="9"/>
    </row>
    <row r="690" s="1" customFormat="1" ht="20.1" customHeight="1" spans="1:13">
      <c r="A690" s="4" t="str">
        <f>"37502022030115465423952"</f>
        <v>37502022030115465423952</v>
      </c>
      <c r="B690" s="4" t="s">
        <v>672</v>
      </c>
      <c r="C690" s="4" t="s">
        <v>696</v>
      </c>
      <c r="D690" s="4" t="str">
        <f>"20220092326"</f>
        <v>20220092326</v>
      </c>
      <c r="E690" s="4" t="str">
        <f t="shared" si="136"/>
        <v>23</v>
      </c>
      <c r="F690" s="4" t="str">
        <f>"26"</f>
        <v>26</v>
      </c>
      <c r="G690" s="5">
        <v>69.89</v>
      </c>
      <c r="H690" s="5" t="s">
        <v>14</v>
      </c>
      <c r="I690" s="5">
        <v>74.4</v>
      </c>
      <c r="J690" s="5" t="s">
        <v>14</v>
      </c>
      <c r="K690" s="7">
        <v>73.05</v>
      </c>
      <c r="L690" s="8">
        <v>25</v>
      </c>
      <c r="M690" s="9"/>
    </row>
    <row r="691" s="1" customFormat="1" ht="20.1" customHeight="1" spans="1:13">
      <c r="A691" s="4" t="str">
        <f>"37502022030206494724787"</f>
        <v>37502022030206494724787</v>
      </c>
      <c r="B691" s="4" t="s">
        <v>672</v>
      </c>
      <c r="C691" s="4" t="s">
        <v>697</v>
      </c>
      <c r="D691" s="4" t="str">
        <f>"20220092316"</f>
        <v>20220092316</v>
      </c>
      <c r="E691" s="4" t="str">
        <f t="shared" si="136"/>
        <v>23</v>
      </c>
      <c r="F691" s="4" t="str">
        <f>"16"</f>
        <v>16</v>
      </c>
      <c r="G691" s="5">
        <v>75.07</v>
      </c>
      <c r="H691" s="5" t="s">
        <v>14</v>
      </c>
      <c r="I691" s="5">
        <v>72.1</v>
      </c>
      <c r="J691" s="5" t="s">
        <v>14</v>
      </c>
      <c r="K691" s="7">
        <v>72.99</v>
      </c>
      <c r="L691" s="8">
        <v>26</v>
      </c>
      <c r="M691" s="9"/>
    </row>
    <row r="692" s="1" customFormat="1" ht="20.1" customHeight="1" spans="1:13">
      <c r="A692" s="4" t="str">
        <f>"37502022030122204224675"</f>
        <v>37502022030122204224675</v>
      </c>
      <c r="B692" s="4" t="s">
        <v>672</v>
      </c>
      <c r="C692" s="4" t="s">
        <v>698</v>
      </c>
      <c r="D692" s="4" t="str">
        <f>"20220092402"</f>
        <v>20220092402</v>
      </c>
      <c r="E692" s="4" t="str">
        <f>"24"</f>
        <v>24</v>
      </c>
      <c r="F692" s="4" t="str">
        <f>"02"</f>
        <v>02</v>
      </c>
      <c r="G692" s="5">
        <v>69.81</v>
      </c>
      <c r="H692" s="5" t="s">
        <v>14</v>
      </c>
      <c r="I692" s="5">
        <v>74.3</v>
      </c>
      <c r="J692" s="5" t="s">
        <v>14</v>
      </c>
      <c r="K692" s="7">
        <v>72.95</v>
      </c>
      <c r="L692" s="8">
        <v>27</v>
      </c>
      <c r="M692" s="9"/>
    </row>
    <row r="693" s="1" customFormat="1" ht="20.1" customHeight="1" spans="1:13">
      <c r="A693" s="4" t="str">
        <f>"37502022022620150519600"</f>
        <v>37502022022620150519600</v>
      </c>
      <c r="B693" s="4" t="s">
        <v>672</v>
      </c>
      <c r="C693" s="4" t="s">
        <v>699</v>
      </c>
      <c r="D693" s="4" t="str">
        <f>"20220092306"</f>
        <v>20220092306</v>
      </c>
      <c r="E693" s="4" t="str">
        <f t="shared" ref="E693:E695" si="137">"23"</f>
        <v>23</v>
      </c>
      <c r="F693" s="4" t="str">
        <f>"06"</f>
        <v>06</v>
      </c>
      <c r="G693" s="5">
        <v>65.87</v>
      </c>
      <c r="H693" s="5" t="s">
        <v>14</v>
      </c>
      <c r="I693" s="5">
        <v>75</v>
      </c>
      <c r="J693" s="5" t="s">
        <v>14</v>
      </c>
      <c r="K693" s="7">
        <v>72.26</v>
      </c>
      <c r="L693" s="8">
        <v>28</v>
      </c>
      <c r="M693" s="9"/>
    </row>
    <row r="694" s="1" customFormat="1" ht="20.1" customHeight="1" spans="1:13">
      <c r="A694" s="4" t="str">
        <f>"37502022030221253326013"</f>
        <v>37502022030221253326013</v>
      </c>
      <c r="B694" s="4" t="s">
        <v>672</v>
      </c>
      <c r="C694" s="4" t="s">
        <v>700</v>
      </c>
      <c r="D694" s="4" t="str">
        <f>"20220092317"</f>
        <v>20220092317</v>
      </c>
      <c r="E694" s="4" t="str">
        <f t="shared" si="137"/>
        <v>23</v>
      </c>
      <c r="F694" s="4" t="str">
        <f>"17"</f>
        <v>17</v>
      </c>
      <c r="G694" s="5">
        <v>71.26</v>
      </c>
      <c r="H694" s="5" t="s">
        <v>14</v>
      </c>
      <c r="I694" s="5">
        <v>72.2</v>
      </c>
      <c r="J694" s="5" t="s">
        <v>14</v>
      </c>
      <c r="K694" s="7">
        <v>71.92</v>
      </c>
      <c r="L694" s="8">
        <v>29</v>
      </c>
      <c r="M694" s="9"/>
    </row>
    <row r="695" s="1" customFormat="1" ht="20.1" customHeight="1" spans="1:13">
      <c r="A695" s="4" t="str">
        <f>"37502022022609405518763"</f>
        <v>37502022022609405518763</v>
      </c>
      <c r="B695" s="4" t="s">
        <v>672</v>
      </c>
      <c r="C695" s="4" t="s">
        <v>701</v>
      </c>
      <c r="D695" s="4" t="str">
        <f>"20220092327"</f>
        <v>20220092327</v>
      </c>
      <c r="E695" s="4" t="str">
        <f t="shared" si="137"/>
        <v>23</v>
      </c>
      <c r="F695" s="4" t="str">
        <f>"27"</f>
        <v>27</v>
      </c>
      <c r="G695" s="5">
        <v>66.29</v>
      </c>
      <c r="H695" s="5" t="s">
        <v>14</v>
      </c>
      <c r="I695" s="5">
        <v>73.8</v>
      </c>
      <c r="J695" s="5" t="s">
        <v>14</v>
      </c>
      <c r="K695" s="7">
        <v>71.55</v>
      </c>
      <c r="L695" s="8">
        <v>30</v>
      </c>
      <c r="M695" s="9"/>
    </row>
    <row r="696" s="1" customFormat="1" ht="20.1" customHeight="1" spans="1:13">
      <c r="A696" s="4" t="str">
        <f>"37502022022815574322589"</f>
        <v>37502022022815574322589</v>
      </c>
      <c r="B696" s="4" t="s">
        <v>672</v>
      </c>
      <c r="C696" s="4" t="s">
        <v>702</v>
      </c>
      <c r="D696" s="4" t="str">
        <f>"20220092413"</f>
        <v>20220092413</v>
      </c>
      <c r="E696" s="4" t="str">
        <f t="shared" ref="E696:E699" si="138">"24"</f>
        <v>24</v>
      </c>
      <c r="F696" s="4" t="str">
        <f>"13"</f>
        <v>13</v>
      </c>
      <c r="G696" s="5">
        <v>71.96</v>
      </c>
      <c r="H696" s="5" t="s">
        <v>14</v>
      </c>
      <c r="I696" s="5">
        <v>69.8</v>
      </c>
      <c r="J696" s="5" t="s">
        <v>14</v>
      </c>
      <c r="K696" s="7">
        <v>70.45</v>
      </c>
      <c r="L696" s="8">
        <v>31</v>
      </c>
      <c r="M696" s="9"/>
    </row>
    <row r="697" s="1" customFormat="1" ht="20.1" customHeight="1" spans="1:13">
      <c r="A697" s="4" t="str">
        <f>"37502022022720250820794"</f>
        <v>37502022022720250820794</v>
      </c>
      <c r="B697" s="4" t="s">
        <v>672</v>
      </c>
      <c r="C697" s="4" t="s">
        <v>703</v>
      </c>
      <c r="D697" s="4" t="str">
        <f>"20220092304"</f>
        <v>20220092304</v>
      </c>
      <c r="E697" s="4" t="str">
        <f t="shared" ref="E697:E701" si="139">"23"</f>
        <v>23</v>
      </c>
      <c r="F697" s="4" t="str">
        <f>"04"</f>
        <v>04</v>
      </c>
      <c r="G697" s="5">
        <v>72.58</v>
      </c>
      <c r="H697" s="5" t="s">
        <v>14</v>
      </c>
      <c r="I697" s="5">
        <v>68.4</v>
      </c>
      <c r="J697" s="5" t="s">
        <v>14</v>
      </c>
      <c r="K697" s="7">
        <v>69.65</v>
      </c>
      <c r="L697" s="8">
        <v>32</v>
      </c>
      <c r="M697" s="9"/>
    </row>
    <row r="698" s="1" customFormat="1" ht="20.1" customHeight="1" spans="1:13">
      <c r="A698" s="4" t="str">
        <f>"37502022022610151818877"</f>
        <v>37502022022610151818877</v>
      </c>
      <c r="B698" s="4" t="s">
        <v>672</v>
      </c>
      <c r="C698" s="4" t="s">
        <v>704</v>
      </c>
      <c r="D698" s="4" t="str">
        <f>"20220092412"</f>
        <v>20220092412</v>
      </c>
      <c r="E698" s="4" t="str">
        <f t="shared" si="138"/>
        <v>24</v>
      </c>
      <c r="F698" s="4" t="str">
        <f>"12"</f>
        <v>12</v>
      </c>
      <c r="G698" s="5">
        <v>62.11</v>
      </c>
      <c r="H698" s="5" t="s">
        <v>14</v>
      </c>
      <c r="I698" s="5">
        <v>71.3</v>
      </c>
      <c r="J698" s="5" t="s">
        <v>14</v>
      </c>
      <c r="K698" s="7">
        <v>68.54</v>
      </c>
      <c r="L698" s="8">
        <v>33</v>
      </c>
      <c r="M698" s="9"/>
    </row>
    <row r="699" s="1" customFormat="1" ht="20.1" customHeight="1" spans="1:13">
      <c r="A699" s="4" t="str">
        <f>"37502022022611413319029"</f>
        <v>37502022022611413319029</v>
      </c>
      <c r="B699" s="4" t="s">
        <v>672</v>
      </c>
      <c r="C699" s="4" t="s">
        <v>705</v>
      </c>
      <c r="D699" s="4" t="str">
        <f>"20220092406"</f>
        <v>20220092406</v>
      </c>
      <c r="E699" s="4" t="str">
        <f t="shared" si="138"/>
        <v>24</v>
      </c>
      <c r="F699" s="4" t="str">
        <f>"06"</f>
        <v>06</v>
      </c>
      <c r="G699" s="5">
        <v>71.08</v>
      </c>
      <c r="H699" s="5" t="s">
        <v>14</v>
      </c>
      <c r="I699" s="5">
        <v>66.1</v>
      </c>
      <c r="J699" s="5" t="s">
        <v>14</v>
      </c>
      <c r="K699" s="7">
        <v>67.59</v>
      </c>
      <c r="L699" s="8">
        <v>34</v>
      </c>
      <c r="M699" s="9"/>
    </row>
    <row r="700" s="1" customFormat="1" ht="20.1" customHeight="1" spans="1:13">
      <c r="A700" s="4" t="str">
        <f>"37502022022820012722931"</f>
        <v>37502022022820012722931</v>
      </c>
      <c r="B700" s="4" t="s">
        <v>672</v>
      </c>
      <c r="C700" s="4" t="s">
        <v>706</v>
      </c>
      <c r="D700" s="4" t="str">
        <f>"20220092321"</f>
        <v>20220092321</v>
      </c>
      <c r="E700" s="4" t="str">
        <f t="shared" si="139"/>
        <v>23</v>
      </c>
      <c r="F700" s="4" t="str">
        <f>"21"</f>
        <v>21</v>
      </c>
      <c r="G700" s="5">
        <v>64.46</v>
      </c>
      <c r="H700" s="5" t="s">
        <v>14</v>
      </c>
      <c r="I700" s="5">
        <v>68</v>
      </c>
      <c r="J700" s="5" t="s">
        <v>14</v>
      </c>
      <c r="K700" s="7">
        <v>66.94</v>
      </c>
      <c r="L700" s="8">
        <v>35</v>
      </c>
      <c r="M700" s="9"/>
    </row>
    <row r="701" s="1" customFormat="1" ht="20.1" customHeight="1" spans="1:13">
      <c r="A701" s="4" t="str">
        <f>"37502022022715203520325"</f>
        <v>37502022022715203520325</v>
      </c>
      <c r="B701" s="4" t="s">
        <v>672</v>
      </c>
      <c r="C701" s="4" t="s">
        <v>707</v>
      </c>
      <c r="D701" s="4" t="str">
        <f>"20220092330"</f>
        <v>20220092330</v>
      </c>
      <c r="E701" s="4" t="str">
        <f t="shared" si="139"/>
        <v>23</v>
      </c>
      <c r="F701" s="4" t="str">
        <f>"30"</f>
        <v>30</v>
      </c>
      <c r="G701" s="5">
        <v>62.67</v>
      </c>
      <c r="H701" s="5" t="s">
        <v>14</v>
      </c>
      <c r="I701" s="5">
        <v>67.4</v>
      </c>
      <c r="J701" s="5" t="s">
        <v>14</v>
      </c>
      <c r="K701" s="7">
        <v>65.98</v>
      </c>
      <c r="L701" s="8">
        <v>36</v>
      </c>
      <c r="M701" s="9"/>
    </row>
    <row r="702" s="1" customFormat="1" ht="20.1" customHeight="1" spans="1:13">
      <c r="A702" s="4" t="str">
        <f>"37502022030112452723665"</f>
        <v>37502022030112452723665</v>
      </c>
      <c r="B702" s="4" t="s">
        <v>672</v>
      </c>
      <c r="C702" s="4" t="s">
        <v>708</v>
      </c>
      <c r="D702" s="4" t="str">
        <f>"20220092404"</f>
        <v>20220092404</v>
      </c>
      <c r="E702" s="4" t="str">
        <f t="shared" ref="E702:E706" si="140">"24"</f>
        <v>24</v>
      </c>
      <c r="F702" s="4" t="str">
        <f>"04"</f>
        <v>04</v>
      </c>
      <c r="G702" s="5">
        <v>67.21</v>
      </c>
      <c r="H702" s="5" t="s">
        <v>14</v>
      </c>
      <c r="I702" s="5">
        <v>65.3</v>
      </c>
      <c r="J702" s="5" t="s">
        <v>14</v>
      </c>
      <c r="K702" s="7">
        <v>65.87</v>
      </c>
      <c r="L702" s="8">
        <v>37</v>
      </c>
      <c r="M702" s="9"/>
    </row>
    <row r="703" s="1" customFormat="1" ht="20.1" customHeight="1" spans="1:13">
      <c r="A703" s="4" t="str">
        <f>"37502022022716465720475"</f>
        <v>37502022022716465720475</v>
      </c>
      <c r="B703" s="4" t="s">
        <v>672</v>
      </c>
      <c r="C703" s="4" t="s">
        <v>709</v>
      </c>
      <c r="D703" s="4" t="str">
        <f>"20220092429"</f>
        <v>20220092429</v>
      </c>
      <c r="E703" s="4" t="str">
        <f t="shared" si="140"/>
        <v>24</v>
      </c>
      <c r="F703" s="4" t="str">
        <f>"29"</f>
        <v>29</v>
      </c>
      <c r="G703" s="5">
        <v>60.67</v>
      </c>
      <c r="H703" s="5" t="s">
        <v>14</v>
      </c>
      <c r="I703" s="5">
        <v>67.4</v>
      </c>
      <c r="J703" s="5" t="s">
        <v>14</v>
      </c>
      <c r="K703" s="7">
        <v>65.38</v>
      </c>
      <c r="L703" s="8">
        <v>38</v>
      </c>
      <c r="M703" s="9"/>
    </row>
    <row r="704" s="1" customFormat="1" ht="20.1" customHeight="1" spans="1:13">
      <c r="A704" s="4" t="str">
        <f>"37502022022818063022825"</f>
        <v>37502022022818063022825</v>
      </c>
      <c r="B704" s="4" t="s">
        <v>672</v>
      </c>
      <c r="C704" s="4" t="s">
        <v>710</v>
      </c>
      <c r="D704" s="4" t="str">
        <f>"20220092428"</f>
        <v>20220092428</v>
      </c>
      <c r="E704" s="4" t="str">
        <f t="shared" si="140"/>
        <v>24</v>
      </c>
      <c r="F704" s="4" t="str">
        <f>"28"</f>
        <v>28</v>
      </c>
      <c r="G704" s="5">
        <v>57.09</v>
      </c>
      <c r="H704" s="5" t="s">
        <v>14</v>
      </c>
      <c r="I704" s="5">
        <v>67.1</v>
      </c>
      <c r="J704" s="5" t="s">
        <v>14</v>
      </c>
      <c r="K704" s="7">
        <v>64.1</v>
      </c>
      <c r="L704" s="8">
        <v>39</v>
      </c>
      <c r="M704" s="9"/>
    </row>
    <row r="705" s="1" customFormat="1" ht="20.1" customHeight="1" spans="1:13">
      <c r="A705" s="4" t="str">
        <f>"37502022022818231422837"</f>
        <v>37502022022818231422837</v>
      </c>
      <c r="B705" s="4" t="s">
        <v>672</v>
      </c>
      <c r="C705" s="4" t="s">
        <v>711</v>
      </c>
      <c r="D705" s="4" t="str">
        <f>"20220092418"</f>
        <v>20220092418</v>
      </c>
      <c r="E705" s="4" t="str">
        <f t="shared" si="140"/>
        <v>24</v>
      </c>
      <c r="F705" s="4" t="str">
        <f>"18"</f>
        <v>18</v>
      </c>
      <c r="G705" s="5">
        <v>65.56</v>
      </c>
      <c r="H705" s="5" t="s">
        <v>14</v>
      </c>
      <c r="I705" s="5">
        <v>63.2</v>
      </c>
      <c r="J705" s="5" t="s">
        <v>14</v>
      </c>
      <c r="K705" s="7">
        <v>63.91</v>
      </c>
      <c r="L705" s="8">
        <v>40</v>
      </c>
      <c r="M705" s="9"/>
    </row>
    <row r="706" s="1" customFormat="1" ht="20.1" customHeight="1" spans="1:13">
      <c r="A706" s="4" t="str">
        <f>"37502022022611525719042"</f>
        <v>37502022022611525719042</v>
      </c>
      <c r="B706" s="4" t="s">
        <v>672</v>
      </c>
      <c r="C706" s="4" t="s">
        <v>712</v>
      </c>
      <c r="D706" s="4" t="str">
        <f>"20220092416"</f>
        <v>20220092416</v>
      </c>
      <c r="E706" s="4" t="str">
        <f t="shared" si="140"/>
        <v>24</v>
      </c>
      <c r="F706" s="4" t="str">
        <f>"16"</f>
        <v>16</v>
      </c>
      <c r="G706" s="5">
        <v>59.28</v>
      </c>
      <c r="H706" s="5" t="s">
        <v>14</v>
      </c>
      <c r="I706" s="5">
        <v>59.2</v>
      </c>
      <c r="J706" s="5" t="s">
        <v>14</v>
      </c>
      <c r="K706" s="7">
        <v>59.22</v>
      </c>
      <c r="L706" s="8">
        <v>41</v>
      </c>
      <c r="M706" s="9"/>
    </row>
    <row r="707" s="1" customFormat="1" ht="20.1" customHeight="1" spans="1:13">
      <c r="A707" s="4" t="str">
        <f>"37502022022820522622973"</f>
        <v>37502022022820522622973</v>
      </c>
      <c r="B707" s="4" t="s">
        <v>672</v>
      </c>
      <c r="C707" s="4" t="s">
        <v>713</v>
      </c>
      <c r="D707" s="4" t="str">
        <f>"20220092324"</f>
        <v>20220092324</v>
      </c>
      <c r="E707" s="4" t="str">
        <f t="shared" ref="E707:E715" si="141">"23"</f>
        <v>23</v>
      </c>
      <c r="F707" s="4" t="str">
        <f>"24"</f>
        <v>24</v>
      </c>
      <c r="G707" s="5">
        <v>66.49</v>
      </c>
      <c r="H707" s="5" t="s">
        <v>14</v>
      </c>
      <c r="I707" s="5">
        <v>54.2</v>
      </c>
      <c r="J707" s="5" t="s">
        <v>14</v>
      </c>
      <c r="K707" s="7">
        <v>57.89</v>
      </c>
      <c r="L707" s="8">
        <v>42</v>
      </c>
      <c r="M707" s="9"/>
    </row>
    <row r="708" s="1" customFormat="1" ht="20.1" customHeight="1" spans="1:13">
      <c r="A708" s="4" t="str">
        <f>"37502022022818485322859"</f>
        <v>37502022022818485322859</v>
      </c>
      <c r="B708" s="4" t="s">
        <v>672</v>
      </c>
      <c r="C708" s="4" t="s">
        <v>714</v>
      </c>
      <c r="D708" s="4" t="str">
        <f>"20220092420"</f>
        <v>20220092420</v>
      </c>
      <c r="E708" s="4" t="str">
        <f t="shared" ref="E708:E710" si="142">"24"</f>
        <v>24</v>
      </c>
      <c r="F708" s="4" t="str">
        <f>"20"</f>
        <v>20</v>
      </c>
      <c r="G708" s="5">
        <v>47.69</v>
      </c>
      <c r="H708" s="5" t="s">
        <v>14</v>
      </c>
      <c r="I708" s="5">
        <v>53.8</v>
      </c>
      <c r="J708" s="5" t="s">
        <v>14</v>
      </c>
      <c r="K708" s="7">
        <v>51.97</v>
      </c>
      <c r="L708" s="8">
        <v>43</v>
      </c>
      <c r="M708" s="9"/>
    </row>
    <row r="709" s="1" customFormat="1" ht="20.1" customHeight="1" spans="1:13">
      <c r="A709" s="4" t="str">
        <f>"37502022022709481719915"</f>
        <v>37502022022709481719915</v>
      </c>
      <c r="B709" s="4" t="s">
        <v>672</v>
      </c>
      <c r="C709" s="4" t="s">
        <v>715</v>
      </c>
      <c r="D709" s="4" t="str">
        <f>"20220092425"</f>
        <v>20220092425</v>
      </c>
      <c r="E709" s="4" t="str">
        <f t="shared" si="142"/>
        <v>24</v>
      </c>
      <c r="F709" s="4" t="str">
        <f>"25"</f>
        <v>25</v>
      </c>
      <c r="G709" s="5">
        <v>51.69</v>
      </c>
      <c r="H709" s="5" t="s">
        <v>14</v>
      </c>
      <c r="I709" s="5">
        <v>42.9</v>
      </c>
      <c r="J709" s="5" t="s">
        <v>14</v>
      </c>
      <c r="K709" s="7">
        <v>45.54</v>
      </c>
      <c r="L709" s="8">
        <v>44</v>
      </c>
      <c r="M709" s="9"/>
    </row>
    <row r="710" s="1" customFormat="1" ht="20.1" customHeight="1" spans="1:13">
      <c r="A710" s="4" t="str">
        <f>"37502022022622390919777"</f>
        <v>37502022022622390919777</v>
      </c>
      <c r="B710" s="4" t="s">
        <v>672</v>
      </c>
      <c r="C710" s="4" t="s">
        <v>716</v>
      </c>
      <c r="D710" s="4" t="str">
        <f>"20220092405"</f>
        <v>20220092405</v>
      </c>
      <c r="E710" s="4" t="str">
        <f t="shared" si="142"/>
        <v>24</v>
      </c>
      <c r="F710" s="4" t="str">
        <f>"05"</f>
        <v>05</v>
      </c>
      <c r="G710" s="5">
        <v>50.92</v>
      </c>
      <c r="H710" s="5" t="s">
        <v>14</v>
      </c>
      <c r="I710" s="5">
        <v>35.3</v>
      </c>
      <c r="J710" s="5" t="s">
        <v>14</v>
      </c>
      <c r="K710" s="7">
        <v>39.99</v>
      </c>
      <c r="L710" s="8">
        <v>45</v>
      </c>
      <c r="M710" s="9"/>
    </row>
    <row r="711" s="1" customFormat="1" ht="20.1" customHeight="1" spans="1:13">
      <c r="A711" s="4" t="str">
        <f>"37502022022609113718685"</f>
        <v>37502022022609113718685</v>
      </c>
      <c r="B711" s="4" t="s">
        <v>672</v>
      </c>
      <c r="C711" s="4" t="s">
        <v>717</v>
      </c>
      <c r="D711" s="4" t="str">
        <f>"20220092308"</f>
        <v>20220092308</v>
      </c>
      <c r="E711" s="4" t="str">
        <f t="shared" si="141"/>
        <v>23</v>
      </c>
      <c r="F711" s="4" t="str">
        <f>"08"</f>
        <v>08</v>
      </c>
      <c r="G711" s="5">
        <v>0</v>
      </c>
      <c r="H711" s="5" t="s">
        <v>74</v>
      </c>
      <c r="I711" s="5">
        <v>0</v>
      </c>
      <c r="J711" s="5" t="s">
        <v>74</v>
      </c>
      <c r="K711" s="7">
        <v>0</v>
      </c>
      <c r="L711" s="8">
        <v>46</v>
      </c>
      <c r="M711" s="9"/>
    </row>
    <row r="712" s="1" customFormat="1" ht="20.1" customHeight="1" spans="1:13">
      <c r="A712" s="4" t="str">
        <f>"37502022022610130318866"</f>
        <v>37502022022610130318866</v>
      </c>
      <c r="B712" s="4" t="s">
        <v>672</v>
      </c>
      <c r="C712" s="4" t="s">
        <v>718</v>
      </c>
      <c r="D712" s="4" t="str">
        <f>"20220092319"</f>
        <v>20220092319</v>
      </c>
      <c r="E712" s="4" t="str">
        <f t="shared" si="141"/>
        <v>23</v>
      </c>
      <c r="F712" s="4" t="str">
        <f>"19"</f>
        <v>19</v>
      </c>
      <c r="G712" s="5">
        <v>0</v>
      </c>
      <c r="H712" s="5" t="s">
        <v>74</v>
      </c>
      <c r="I712" s="5">
        <v>0</v>
      </c>
      <c r="J712" s="5" t="s">
        <v>74</v>
      </c>
      <c r="K712" s="7">
        <v>0</v>
      </c>
      <c r="L712" s="8">
        <v>46</v>
      </c>
      <c r="M712" s="9"/>
    </row>
    <row r="713" s="1" customFormat="1" ht="20.1" customHeight="1" spans="1:13">
      <c r="A713" s="4" t="str">
        <f>"37502022022615150419298"</f>
        <v>37502022022615150419298</v>
      </c>
      <c r="B713" s="4" t="s">
        <v>672</v>
      </c>
      <c r="C713" s="4" t="s">
        <v>719</v>
      </c>
      <c r="D713" s="4" t="str">
        <f>"20220092312"</f>
        <v>20220092312</v>
      </c>
      <c r="E713" s="4" t="str">
        <f t="shared" si="141"/>
        <v>23</v>
      </c>
      <c r="F713" s="4" t="str">
        <f>"12"</f>
        <v>12</v>
      </c>
      <c r="G713" s="5">
        <v>0</v>
      </c>
      <c r="H713" s="5" t="s">
        <v>74</v>
      </c>
      <c r="I713" s="5">
        <v>0</v>
      </c>
      <c r="J713" s="5" t="s">
        <v>74</v>
      </c>
      <c r="K713" s="7">
        <v>0</v>
      </c>
      <c r="L713" s="8">
        <v>46</v>
      </c>
      <c r="M713" s="9"/>
    </row>
    <row r="714" s="1" customFormat="1" ht="20.1" customHeight="1" spans="1:13">
      <c r="A714" s="4" t="str">
        <f>"37502022022619570219585"</f>
        <v>37502022022619570219585</v>
      </c>
      <c r="B714" s="4" t="s">
        <v>672</v>
      </c>
      <c r="C714" s="4" t="s">
        <v>720</v>
      </c>
      <c r="D714" s="4" t="str">
        <f>"20220092328"</f>
        <v>20220092328</v>
      </c>
      <c r="E714" s="4" t="str">
        <f t="shared" si="141"/>
        <v>23</v>
      </c>
      <c r="F714" s="4" t="str">
        <f>"28"</f>
        <v>28</v>
      </c>
      <c r="G714" s="5">
        <v>0</v>
      </c>
      <c r="H714" s="5" t="s">
        <v>74</v>
      </c>
      <c r="I714" s="5">
        <v>0</v>
      </c>
      <c r="J714" s="5" t="s">
        <v>74</v>
      </c>
      <c r="K714" s="7">
        <v>0</v>
      </c>
      <c r="L714" s="8">
        <v>46</v>
      </c>
      <c r="M714" s="9"/>
    </row>
    <row r="715" s="1" customFormat="1" ht="20.1" customHeight="1" spans="1:13">
      <c r="A715" s="4" t="str">
        <f>"37502022022713550120202"</f>
        <v>37502022022713550120202</v>
      </c>
      <c r="B715" s="4" t="s">
        <v>672</v>
      </c>
      <c r="C715" s="4" t="s">
        <v>721</v>
      </c>
      <c r="D715" s="4" t="str">
        <f>"20220092320"</f>
        <v>20220092320</v>
      </c>
      <c r="E715" s="4" t="str">
        <f t="shared" si="141"/>
        <v>23</v>
      </c>
      <c r="F715" s="4" t="str">
        <f>"20"</f>
        <v>20</v>
      </c>
      <c r="G715" s="5">
        <v>0</v>
      </c>
      <c r="H715" s="5" t="s">
        <v>74</v>
      </c>
      <c r="I715" s="5">
        <v>0</v>
      </c>
      <c r="J715" s="5" t="s">
        <v>74</v>
      </c>
      <c r="K715" s="7">
        <v>0</v>
      </c>
      <c r="L715" s="8">
        <v>46</v>
      </c>
      <c r="M715" s="9"/>
    </row>
    <row r="716" s="1" customFormat="1" ht="20.1" customHeight="1" spans="1:13">
      <c r="A716" s="4" t="str">
        <f>"37502022022720264420799"</f>
        <v>37502022022720264420799</v>
      </c>
      <c r="B716" s="4" t="s">
        <v>672</v>
      </c>
      <c r="C716" s="4" t="s">
        <v>532</v>
      </c>
      <c r="D716" s="4" t="str">
        <f>"20220092411"</f>
        <v>20220092411</v>
      </c>
      <c r="E716" s="4" t="str">
        <f t="shared" ref="E716:E721" si="143">"24"</f>
        <v>24</v>
      </c>
      <c r="F716" s="4" t="str">
        <f>"11"</f>
        <v>11</v>
      </c>
      <c r="G716" s="5">
        <v>0</v>
      </c>
      <c r="H716" s="5" t="s">
        <v>74</v>
      </c>
      <c r="I716" s="5">
        <v>0</v>
      </c>
      <c r="J716" s="5" t="s">
        <v>74</v>
      </c>
      <c r="K716" s="7">
        <v>0</v>
      </c>
      <c r="L716" s="8">
        <v>46</v>
      </c>
      <c r="M716" s="9"/>
    </row>
    <row r="717" s="1" customFormat="1" ht="20.1" customHeight="1" spans="1:13">
      <c r="A717" s="4" t="str">
        <f>"37502022022720305120816"</f>
        <v>37502022022720305120816</v>
      </c>
      <c r="B717" s="4" t="s">
        <v>672</v>
      </c>
      <c r="C717" s="4" t="s">
        <v>722</v>
      </c>
      <c r="D717" s="4" t="str">
        <f>"20220092419"</f>
        <v>20220092419</v>
      </c>
      <c r="E717" s="4" t="str">
        <f t="shared" si="143"/>
        <v>24</v>
      </c>
      <c r="F717" s="4" t="str">
        <f>"19"</f>
        <v>19</v>
      </c>
      <c r="G717" s="5">
        <v>0</v>
      </c>
      <c r="H717" s="5" t="s">
        <v>74</v>
      </c>
      <c r="I717" s="5">
        <v>0</v>
      </c>
      <c r="J717" s="5" t="s">
        <v>74</v>
      </c>
      <c r="K717" s="7">
        <v>0</v>
      </c>
      <c r="L717" s="8">
        <v>46</v>
      </c>
      <c r="M717" s="9"/>
    </row>
    <row r="718" s="1" customFormat="1" ht="20.1" customHeight="1" spans="1:13">
      <c r="A718" s="4" t="str">
        <f>"37502022022720321520818"</f>
        <v>37502022022720321520818</v>
      </c>
      <c r="B718" s="4" t="s">
        <v>672</v>
      </c>
      <c r="C718" s="4" t="s">
        <v>723</v>
      </c>
      <c r="D718" s="4" t="str">
        <f>"20220092503"</f>
        <v>20220092503</v>
      </c>
      <c r="E718" s="4" t="str">
        <f>"25"</f>
        <v>25</v>
      </c>
      <c r="F718" s="4" t="str">
        <f>"03"</f>
        <v>03</v>
      </c>
      <c r="G718" s="5">
        <v>0</v>
      </c>
      <c r="H718" s="5" t="s">
        <v>74</v>
      </c>
      <c r="I718" s="5">
        <v>0</v>
      </c>
      <c r="J718" s="5" t="s">
        <v>74</v>
      </c>
      <c r="K718" s="7">
        <v>0</v>
      </c>
      <c r="L718" s="8">
        <v>46</v>
      </c>
      <c r="M718" s="9"/>
    </row>
    <row r="719" s="1" customFormat="1" ht="20.1" customHeight="1" spans="1:13">
      <c r="A719" s="4" t="str">
        <f>"37502022022820554122981"</f>
        <v>37502022022820554122981</v>
      </c>
      <c r="B719" s="4" t="s">
        <v>672</v>
      </c>
      <c r="C719" s="4" t="s">
        <v>724</v>
      </c>
      <c r="D719" s="4" t="str">
        <f>"20220092502"</f>
        <v>20220092502</v>
      </c>
      <c r="E719" s="4" t="str">
        <f>"25"</f>
        <v>25</v>
      </c>
      <c r="F719" s="4" t="str">
        <f>"02"</f>
        <v>02</v>
      </c>
      <c r="G719" s="5">
        <v>0</v>
      </c>
      <c r="H719" s="5" t="s">
        <v>74</v>
      </c>
      <c r="I719" s="5">
        <v>0</v>
      </c>
      <c r="J719" s="5" t="s">
        <v>74</v>
      </c>
      <c r="K719" s="7">
        <v>0</v>
      </c>
      <c r="L719" s="8">
        <v>46</v>
      </c>
      <c r="M719" s="9"/>
    </row>
    <row r="720" s="1" customFormat="1" ht="20.1" customHeight="1" spans="1:13">
      <c r="A720" s="4" t="str">
        <f>"37502022030108494723157"</f>
        <v>37502022030108494723157</v>
      </c>
      <c r="B720" s="4" t="s">
        <v>672</v>
      </c>
      <c r="C720" s="4" t="s">
        <v>725</v>
      </c>
      <c r="D720" s="4" t="str">
        <f>"20220092311"</f>
        <v>20220092311</v>
      </c>
      <c r="E720" s="4" t="str">
        <f>"23"</f>
        <v>23</v>
      </c>
      <c r="F720" s="4" t="str">
        <f>"11"</f>
        <v>11</v>
      </c>
      <c r="G720" s="5">
        <v>0</v>
      </c>
      <c r="H720" s="5" t="s">
        <v>74</v>
      </c>
      <c r="I720" s="5">
        <v>0</v>
      </c>
      <c r="J720" s="5" t="s">
        <v>74</v>
      </c>
      <c r="K720" s="7">
        <v>0</v>
      </c>
      <c r="L720" s="8">
        <v>46</v>
      </c>
      <c r="M720" s="9"/>
    </row>
    <row r="721" s="1" customFormat="1" ht="20.1" customHeight="1" spans="1:13">
      <c r="A721" s="4" t="str">
        <f>"37502022030113480123777"</f>
        <v>37502022030113480123777</v>
      </c>
      <c r="B721" s="4" t="s">
        <v>672</v>
      </c>
      <c r="C721" s="4" t="s">
        <v>726</v>
      </c>
      <c r="D721" s="4" t="str">
        <f>"20220092421"</f>
        <v>20220092421</v>
      </c>
      <c r="E721" s="4" t="str">
        <f t="shared" si="143"/>
        <v>24</v>
      </c>
      <c r="F721" s="4" t="str">
        <f>"21"</f>
        <v>21</v>
      </c>
      <c r="G721" s="5">
        <v>0</v>
      </c>
      <c r="H721" s="5" t="s">
        <v>74</v>
      </c>
      <c r="I721" s="5">
        <v>0</v>
      </c>
      <c r="J721" s="5" t="s">
        <v>74</v>
      </c>
      <c r="K721" s="7">
        <v>0</v>
      </c>
      <c r="L721" s="8">
        <v>46</v>
      </c>
      <c r="M721" s="9"/>
    </row>
    <row r="722" s="1" customFormat="1" ht="20.1" customHeight="1" spans="1:13">
      <c r="A722" s="4" t="str">
        <f>"37502022030118221124216"</f>
        <v>37502022030118221124216</v>
      </c>
      <c r="B722" s="4" t="s">
        <v>672</v>
      </c>
      <c r="C722" s="4" t="s">
        <v>727</v>
      </c>
      <c r="D722" s="4" t="str">
        <f>"20220092323"</f>
        <v>20220092323</v>
      </c>
      <c r="E722" s="4" t="str">
        <f>"23"</f>
        <v>23</v>
      </c>
      <c r="F722" s="4" t="str">
        <f>"23"</f>
        <v>23</v>
      </c>
      <c r="G722" s="5">
        <v>0</v>
      </c>
      <c r="H722" s="5" t="s">
        <v>74</v>
      </c>
      <c r="I722" s="5">
        <v>0</v>
      </c>
      <c r="J722" s="5" t="s">
        <v>74</v>
      </c>
      <c r="K722" s="7">
        <v>0</v>
      </c>
      <c r="L722" s="8">
        <v>46</v>
      </c>
      <c r="M722" s="9"/>
    </row>
    <row r="723" s="1" customFormat="1" ht="20.1" customHeight="1" spans="1:13">
      <c r="A723" s="4" t="str">
        <f>"37502022030118225524220"</f>
        <v>37502022030118225524220</v>
      </c>
      <c r="B723" s="4" t="s">
        <v>672</v>
      </c>
      <c r="C723" s="4" t="s">
        <v>728</v>
      </c>
      <c r="D723" s="4" t="str">
        <f>"20220092422"</f>
        <v>20220092422</v>
      </c>
      <c r="E723" s="4" t="str">
        <f t="shared" ref="E723:E725" si="144">"24"</f>
        <v>24</v>
      </c>
      <c r="F723" s="4" t="str">
        <f>"22"</f>
        <v>22</v>
      </c>
      <c r="G723" s="5">
        <v>0</v>
      </c>
      <c r="H723" s="5" t="s">
        <v>74</v>
      </c>
      <c r="I723" s="5">
        <v>0</v>
      </c>
      <c r="J723" s="5" t="s">
        <v>74</v>
      </c>
      <c r="K723" s="7">
        <v>0</v>
      </c>
      <c r="L723" s="8">
        <v>46</v>
      </c>
      <c r="M723" s="9"/>
    </row>
    <row r="724" s="1" customFormat="1" ht="20.1" customHeight="1" spans="1:13">
      <c r="A724" s="4" t="str">
        <f>"37502022030212045225175"</f>
        <v>37502022030212045225175</v>
      </c>
      <c r="B724" s="4" t="s">
        <v>672</v>
      </c>
      <c r="C724" s="4" t="s">
        <v>729</v>
      </c>
      <c r="D724" s="4" t="str">
        <f>"20220092417"</f>
        <v>20220092417</v>
      </c>
      <c r="E724" s="4" t="str">
        <f t="shared" si="144"/>
        <v>24</v>
      </c>
      <c r="F724" s="4" t="str">
        <f>"17"</f>
        <v>17</v>
      </c>
      <c r="G724" s="5">
        <v>0</v>
      </c>
      <c r="H724" s="5" t="s">
        <v>74</v>
      </c>
      <c r="I724" s="5">
        <v>0</v>
      </c>
      <c r="J724" s="5" t="s">
        <v>74</v>
      </c>
      <c r="K724" s="7">
        <v>0</v>
      </c>
      <c r="L724" s="8">
        <v>46</v>
      </c>
      <c r="M724" s="9"/>
    </row>
    <row r="725" s="1" customFormat="1" ht="20.1" customHeight="1" spans="1:13">
      <c r="A725" s="4" t="str">
        <f>"37502022030216174125523"</f>
        <v>37502022030216174125523</v>
      </c>
      <c r="B725" s="4" t="s">
        <v>672</v>
      </c>
      <c r="C725" s="4" t="s">
        <v>730</v>
      </c>
      <c r="D725" s="4" t="str">
        <f>"20220092408"</f>
        <v>20220092408</v>
      </c>
      <c r="E725" s="4" t="str">
        <f t="shared" si="144"/>
        <v>24</v>
      </c>
      <c r="F725" s="4" t="str">
        <f>"08"</f>
        <v>08</v>
      </c>
      <c r="G725" s="5">
        <v>0</v>
      </c>
      <c r="H725" s="5" t="s">
        <v>74</v>
      </c>
      <c r="I725" s="5">
        <v>0</v>
      </c>
      <c r="J725" s="5" t="s">
        <v>74</v>
      </c>
      <c r="K725" s="7">
        <v>0</v>
      </c>
      <c r="L725" s="8">
        <v>46</v>
      </c>
      <c r="M725" s="9"/>
    </row>
    <row r="726" s="1" customFormat="1" ht="20.1" customHeight="1" spans="1:13">
      <c r="A726" s="4" t="str">
        <f>"37502022030107474523108"</f>
        <v>37502022030107474523108</v>
      </c>
      <c r="B726" s="4" t="s">
        <v>731</v>
      </c>
      <c r="C726" s="4" t="s">
        <v>732</v>
      </c>
      <c r="D726" s="4" t="str">
        <f>"20220102529"</f>
        <v>20220102529</v>
      </c>
      <c r="E726" s="4" t="str">
        <f t="shared" ref="E726:E730" si="145">"25"</f>
        <v>25</v>
      </c>
      <c r="F726" s="4" t="str">
        <f>"29"</f>
        <v>29</v>
      </c>
      <c r="G726" s="5">
        <v>74.83</v>
      </c>
      <c r="H726" s="5" t="s">
        <v>14</v>
      </c>
      <c r="I726" s="5">
        <v>86</v>
      </c>
      <c r="J726" s="5" t="s">
        <v>14</v>
      </c>
      <c r="K726" s="7">
        <v>82.65</v>
      </c>
      <c r="L726" s="8">
        <v>1</v>
      </c>
      <c r="M726" s="9"/>
    </row>
    <row r="727" s="1" customFormat="1" ht="20.1" customHeight="1" spans="1:13">
      <c r="A727" s="4" t="str">
        <f>"37502022030111012423478"</f>
        <v>37502022030111012423478</v>
      </c>
      <c r="B727" s="4" t="s">
        <v>731</v>
      </c>
      <c r="C727" s="4" t="s">
        <v>733</v>
      </c>
      <c r="D727" s="4" t="str">
        <f>"20220102611"</f>
        <v>20220102611</v>
      </c>
      <c r="E727" s="4" t="str">
        <f>"26"</f>
        <v>26</v>
      </c>
      <c r="F727" s="4" t="str">
        <f>"11"</f>
        <v>11</v>
      </c>
      <c r="G727" s="5">
        <v>75.02</v>
      </c>
      <c r="H727" s="5" t="s">
        <v>14</v>
      </c>
      <c r="I727" s="5">
        <v>80.9</v>
      </c>
      <c r="J727" s="5" t="s">
        <v>14</v>
      </c>
      <c r="K727" s="7">
        <v>79.14</v>
      </c>
      <c r="L727" s="8">
        <v>2</v>
      </c>
      <c r="M727" s="9"/>
    </row>
    <row r="728" s="1" customFormat="1" ht="20.1" customHeight="1" spans="1:13">
      <c r="A728" s="4" t="str">
        <f>"37502022022619492719577"</f>
        <v>37502022022619492719577</v>
      </c>
      <c r="B728" s="4" t="s">
        <v>731</v>
      </c>
      <c r="C728" s="4" t="s">
        <v>734</v>
      </c>
      <c r="D728" s="4" t="str">
        <f>"20220102528"</f>
        <v>20220102528</v>
      </c>
      <c r="E728" s="4" t="str">
        <f t="shared" si="145"/>
        <v>25</v>
      </c>
      <c r="F728" s="4" t="str">
        <f>"28"</f>
        <v>28</v>
      </c>
      <c r="G728" s="5">
        <v>76.74</v>
      </c>
      <c r="H728" s="5" t="s">
        <v>14</v>
      </c>
      <c r="I728" s="5">
        <v>79.8</v>
      </c>
      <c r="J728" s="5" t="s">
        <v>14</v>
      </c>
      <c r="K728" s="7">
        <v>78.88</v>
      </c>
      <c r="L728" s="8">
        <v>3</v>
      </c>
      <c r="M728" s="9"/>
    </row>
    <row r="729" s="1" customFormat="1" ht="20.1" customHeight="1" spans="1:13">
      <c r="A729" s="4" t="str">
        <f>"37502022030116550624077"</f>
        <v>37502022030116550624077</v>
      </c>
      <c r="B729" s="4" t="s">
        <v>731</v>
      </c>
      <c r="C729" s="4" t="s">
        <v>735</v>
      </c>
      <c r="D729" s="4" t="str">
        <f>"20220102530"</f>
        <v>20220102530</v>
      </c>
      <c r="E729" s="4" t="str">
        <f t="shared" si="145"/>
        <v>25</v>
      </c>
      <c r="F729" s="4" t="str">
        <f>"30"</f>
        <v>30</v>
      </c>
      <c r="G729" s="5">
        <v>70.41</v>
      </c>
      <c r="H729" s="5" t="s">
        <v>14</v>
      </c>
      <c r="I729" s="5">
        <v>81.7</v>
      </c>
      <c r="J729" s="5" t="s">
        <v>14</v>
      </c>
      <c r="K729" s="7">
        <v>78.31</v>
      </c>
      <c r="L729" s="8">
        <v>4</v>
      </c>
      <c r="M729" s="9"/>
    </row>
    <row r="730" s="1" customFormat="1" ht="20.1" customHeight="1" spans="1:13">
      <c r="A730" s="4" t="str">
        <f>"37502022022809491721511"</f>
        <v>37502022022809491721511</v>
      </c>
      <c r="B730" s="4" t="s">
        <v>731</v>
      </c>
      <c r="C730" s="4" t="s">
        <v>736</v>
      </c>
      <c r="D730" s="4" t="str">
        <f>"20220102526"</f>
        <v>20220102526</v>
      </c>
      <c r="E730" s="4" t="str">
        <f t="shared" si="145"/>
        <v>25</v>
      </c>
      <c r="F730" s="4" t="str">
        <f>"26"</f>
        <v>26</v>
      </c>
      <c r="G730" s="5">
        <v>72.96</v>
      </c>
      <c r="H730" s="5" t="s">
        <v>14</v>
      </c>
      <c r="I730" s="5">
        <v>80.2</v>
      </c>
      <c r="J730" s="5" t="s">
        <v>14</v>
      </c>
      <c r="K730" s="7">
        <v>78.03</v>
      </c>
      <c r="L730" s="8">
        <v>5</v>
      </c>
      <c r="M730" s="9"/>
    </row>
    <row r="731" s="1" customFormat="1" ht="20.1" customHeight="1" spans="1:13">
      <c r="A731" s="4" t="str">
        <f>"37502022022820293822958"</f>
        <v>37502022022820293822958</v>
      </c>
      <c r="B731" s="4" t="s">
        <v>731</v>
      </c>
      <c r="C731" s="4" t="s">
        <v>737</v>
      </c>
      <c r="D731" s="4" t="str">
        <f>"20220102617"</f>
        <v>20220102617</v>
      </c>
      <c r="E731" s="4" t="str">
        <f t="shared" ref="E731:E735" si="146">"26"</f>
        <v>26</v>
      </c>
      <c r="F731" s="4" t="str">
        <f>"17"</f>
        <v>17</v>
      </c>
      <c r="G731" s="5">
        <v>70.15</v>
      </c>
      <c r="H731" s="5" t="s">
        <v>14</v>
      </c>
      <c r="I731" s="5">
        <v>81.4</v>
      </c>
      <c r="J731" s="5" t="s">
        <v>14</v>
      </c>
      <c r="K731" s="7">
        <v>78.03</v>
      </c>
      <c r="L731" s="8">
        <v>5</v>
      </c>
      <c r="M731" s="9"/>
    </row>
    <row r="732" s="1" customFormat="1" ht="20.1" customHeight="1" spans="1:13">
      <c r="A732" s="4" t="str">
        <f>"37502022022811343521806"</f>
        <v>37502022022811343521806</v>
      </c>
      <c r="B732" s="4" t="s">
        <v>731</v>
      </c>
      <c r="C732" s="4" t="s">
        <v>738</v>
      </c>
      <c r="D732" s="4" t="str">
        <f>"20220102519"</f>
        <v>20220102519</v>
      </c>
      <c r="E732" s="4" t="str">
        <f t="shared" ref="E732:E740" si="147">"25"</f>
        <v>25</v>
      </c>
      <c r="F732" s="4" t="str">
        <f>"19"</f>
        <v>19</v>
      </c>
      <c r="G732" s="5">
        <v>69.79</v>
      </c>
      <c r="H732" s="5" t="s">
        <v>14</v>
      </c>
      <c r="I732" s="5">
        <v>81.5</v>
      </c>
      <c r="J732" s="5" t="s">
        <v>14</v>
      </c>
      <c r="K732" s="7">
        <v>77.99</v>
      </c>
      <c r="L732" s="8">
        <v>7</v>
      </c>
      <c r="M732" s="9"/>
    </row>
    <row r="733" s="1" customFormat="1" ht="20.1" customHeight="1" spans="1:13">
      <c r="A733" s="4" t="str">
        <f>"37502022022721213120917"</f>
        <v>37502022022721213120917</v>
      </c>
      <c r="B733" s="4" t="s">
        <v>731</v>
      </c>
      <c r="C733" s="4" t="s">
        <v>739</v>
      </c>
      <c r="D733" s="4" t="str">
        <f>"20220102508"</f>
        <v>20220102508</v>
      </c>
      <c r="E733" s="4" t="str">
        <f t="shared" si="147"/>
        <v>25</v>
      </c>
      <c r="F733" s="4" t="str">
        <f>"08"</f>
        <v>08</v>
      </c>
      <c r="G733" s="5">
        <v>70.34</v>
      </c>
      <c r="H733" s="5" t="s">
        <v>14</v>
      </c>
      <c r="I733" s="5">
        <v>80.1</v>
      </c>
      <c r="J733" s="5" t="s">
        <v>14</v>
      </c>
      <c r="K733" s="7">
        <v>77.17</v>
      </c>
      <c r="L733" s="8">
        <v>8</v>
      </c>
      <c r="M733" s="9"/>
    </row>
    <row r="734" s="1" customFormat="1" ht="20.1" customHeight="1" spans="1:13">
      <c r="A734" s="4" t="str">
        <f>"37502022022610125818865"</f>
        <v>37502022022610125818865</v>
      </c>
      <c r="B734" s="4" t="s">
        <v>731</v>
      </c>
      <c r="C734" s="4" t="s">
        <v>740</v>
      </c>
      <c r="D734" s="4" t="str">
        <f>"20220102608"</f>
        <v>20220102608</v>
      </c>
      <c r="E734" s="4" t="str">
        <f t="shared" si="146"/>
        <v>26</v>
      </c>
      <c r="F734" s="4" t="str">
        <f>"08"</f>
        <v>08</v>
      </c>
      <c r="G734" s="5">
        <v>76.91</v>
      </c>
      <c r="H734" s="5" t="s">
        <v>14</v>
      </c>
      <c r="I734" s="5">
        <v>76.9</v>
      </c>
      <c r="J734" s="5" t="s">
        <v>14</v>
      </c>
      <c r="K734" s="7">
        <v>76.9</v>
      </c>
      <c r="L734" s="8">
        <v>9</v>
      </c>
      <c r="M734" s="9"/>
    </row>
    <row r="735" s="1" customFormat="1" ht="20.1" customHeight="1" spans="1:13">
      <c r="A735" s="4" t="str">
        <f>"37502022022610430718949"</f>
        <v>37502022022610430718949</v>
      </c>
      <c r="B735" s="4" t="s">
        <v>731</v>
      </c>
      <c r="C735" s="4" t="s">
        <v>741</v>
      </c>
      <c r="D735" s="4" t="str">
        <f>"20220102614"</f>
        <v>20220102614</v>
      </c>
      <c r="E735" s="4" t="str">
        <f t="shared" si="146"/>
        <v>26</v>
      </c>
      <c r="F735" s="4" t="str">
        <f>"14"</f>
        <v>14</v>
      </c>
      <c r="G735" s="5">
        <v>72.41</v>
      </c>
      <c r="H735" s="5" t="s">
        <v>14</v>
      </c>
      <c r="I735" s="5">
        <v>78.4</v>
      </c>
      <c r="J735" s="5" t="s">
        <v>14</v>
      </c>
      <c r="K735" s="7">
        <v>76.6</v>
      </c>
      <c r="L735" s="8">
        <v>10</v>
      </c>
      <c r="M735" s="9"/>
    </row>
    <row r="736" s="1" customFormat="1" ht="20.1" customHeight="1" spans="1:13">
      <c r="A736" s="4" t="str">
        <f>"37502022030116391224035"</f>
        <v>37502022030116391224035</v>
      </c>
      <c r="B736" s="4" t="s">
        <v>731</v>
      </c>
      <c r="C736" s="4" t="s">
        <v>742</v>
      </c>
      <c r="D736" s="4" t="str">
        <f>"20220102504"</f>
        <v>20220102504</v>
      </c>
      <c r="E736" s="4" t="str">
        <f t="shared" si="147"/>
        <v>25</v>
      </c>
      <c r="F736" s="4" t="str">
        <f>"04"</f>
        <v>04</v>
      </c>
      <c r="G736" s="5">
        <v>71.27</v>
      </c>
      <c r="H736" s="5" t="s">
        <v>14</v>
      </c>
      <c r="I736" s="5">
        <v>78.6</v>
      </c>
      <c r="J736" s="5" t="s">
        <v>14</v>
      </c>
      <c r="K736" s="7">
        <v>76.4</v>
      </c>
      <c r="L736" s="8">
        <v>11</v>
      </c>
      <c r="M736" s="9"/>
    </row>
    <row r="737" s="1" customFormat="1" ht="20.1" customHeight="1" spans="1:13">
      <c r="A737" s="4" t="str">
        <f>"37502022030111002723476"</f>
        <v>37502022030111002723476</v>
      </c>
      <c r="B737" s="4" t="s">
        <v>731</v>
      </c>
      <c r="C737" s="4" t="s">
        <v>743</v>
      </c>
      <c r="D737" s="4" t="str">
        <f>"20220102521"</f>
        <v>20220102521</v>
      </c>
      <c r="E737" s="4" t="str">
        <f t="shared" si="147"/>
        <v>25</v>
      </c>
      <c r="F737" s="4" t="str">
        <f>"21"</f>
        <v>21</v>
      </c>
      <c r="G737" s="5">
        <v>78.27</v>
      </c>
      <c r="H737" s="5" t="s">
        <v>14</v>
      </c>
      <c r="I737" s="5">
        <v>74.9</v>
      </c>
      <c r="J737" s="5" t="s">
        <v>14</v>
      </c>
      <c r="K737" s="7">
        <v>75.91</v>
      </c>
      <c r="L737" s="8">
        <v>12</v>
      </c>
      <c r="M737" s="9"/>
    </row>
    <row r="738" s="1" customFormat="1" ht="20.1" customHeight="1" spans="1:13">
      <c r="A738" s="4" t="str">
        <f>"37502022030208374224840"</f>
        <v>37502022030208374224840</v>
      </c>
      <c r="B738" s="4" t="s">
        <v>731</v>
      </c>
      <c r="C738" s="4" t="s">
        <v>744</v>
      </c>
      <c r="D738" s="4" t="str">
        <f>"20220102511"</f>
        <v>20220102511</v>
      </c>
      <c r="E738" s="4" t="str">
        <f t="shared" si="147"/>
        <v>25</v>
      </c>
      <c r="F738" s="4" t="str">
        <f>"11"</f>
        <v>11</v>
      </c>
      <c r="G738" s="5">
        <v>75.92</v>
      </c>
      <c r="H738" s="5" t="s">
        <v>14</v>
      </c>
      <c r="I738" s="5">
        <v>75.6</v>
      </c>
      <c r="J738" s="5" t="s">
        <v>14</v>
      </c>
      <c r="K738" s="7">
        <v>75.7</v>
      </c>
      <c r="L738" s="8">
        <v>13</v>
      </c>
      <c r="M738" s="9"/>
    </row>
    <row r="739" s="1" customFormat="1" ht="20.1" customHeight="1" spans="1:13">
      <c r="A739" s="4" t="str">
        <f>"37502022022814364222294"</f>
        <v>37502022022814364222294</v>
      </c>
      <c r="B739" s="4" t="s">
        <v>731</v>
      </c>
      <c r="C739" s="4" t="s">
        <v>745</v>
      </c>
      <c r="D739" s="4" t="str">
        <f>"20220102512"</f>
        <v>20220102512</v>
      </c>
      <c r="E739" s="4" t="str">
        <f t="shared" si="147"/>
        <v>25</v>
      </c>
      <c r="F739" s="4" t="str">
        <f>"12"</f>
        <v>12</v>
      </c>
      <c r="G739" s="5">
        <v>73.61</v>
      </c>
      <c r="H739" s="5" t="s">
        <v>14</v>
      </c>
      <c r="I739" s="5">
        <v>74.5</v>
      </c>
      <c r="J739" s="5" t="s">
        <v>14</v>
      </c>
      <c r="K739" s="7">
        <v>74.23</v>
      </c>
      <c r="L739" s="8">
        <v>14</v>
      </c>
      <c r="M739" s="9"/>
    </row>
    <row r="740" s="1" customFormat="1" ht="20.1" customHeight="1" spans="1:13">
      <c r="A740" s="4" t="str">
        <f>"37502022030117042824098"</f>
        <v>37502022030117042824098</v>
      </c>
      <c r="B740" s="4" t="s">
        <v>731</v>
      </c>
      <c r="C740" s="4" t="s">
        <v>746</v>
      </c>
      <c r="D740" s="4" t="str">
        <f>"20220102527"</f>
        <v>20220102527</v>
      </c>
      <c r="E740" s="4" t="str">
        <f t="shared" si="147"/>
        <v>25</v>
      </c>
      <c r="F740" s="4" t="str">
        <f>"27"</f>
        <v>27</v>
      </c>
      <c r="G740" s="5">
        <v>76.9</v>
      </c>
      <c r="H740" s="5" t="s">
        <v>14</v>
      </c>
      <c r="I740" s="5">
        <v>72.5</v>
      </c>
      <c r="J740" s="5" t="s">
        <v>14</v>
      </c>
      <c r="K740" s="7">
        <v>73.82</v>
      </c>
      <c r="L740" s="8">
        <v>15</v>
      </c>
      <c r="M740" s="9"/>
    </row>
    <row r="741" s="1" customFormat="1" ht="20.1" customHeight="1" spans="1:13">
      <c r="A741" s="4" t="str">
        <f>"37502022030113520523784"</f>
        <v>37502022030113520523784</v>
      </c>
      <c r="B741" s="4" t="s">
        <v>731</v>
      </c>
      <c r="C741" s="4" t="s">
        <v>747</v>
      </c>
      <c r="D741" s="4" t="str">
        <f>"20220102605"</f>
        <v>20220102605</v>
      </c>
      <c r="E741" s="4" t="str">
        <f t="shared" ref="E741:E745" si="148">"26"</f>
        <v>26</v>
      </c>
      <c r="F741" s="4" t="str">
        <f>"05"</f>
        <v>05</v>
      </c>
      <c r="G741" s="5">
        <v>72.14</v>
      </c>
      <c r="H741" s="5" t="s">
        <v>14</v>
      </c>
      <c r="I741" s="5">
        <v>73.8</v>
      </c>
      <c r="J741" s="5" t="s">
        <v>14</v>
      </c>
      <c r="K741" s="7">
        <v>73.3</v>
      </c>
      <c r="L741" s="8">
        <v>16</v>
      </c>
      <c r="M741" s="9"/>
    </row>
    <row r="742" s="1" customFormat="1" ht="20.1" customHeight="1" spans="1:13">
      <c r="A742" s="4" t="str">
        <f>"37502022022612205619075"</f>
        <v>37502022022612205619075</v>
      </c>
      <c r="B742" s="4" t="s">
        <v>731</v>
      </c>
      <c r="C742" s="4" t="s">
        <v>748</v>
      </c>
      <c r="D742" s="4" t="str">
        <f>"20220102513"</f>
        <v>20220102513</v>
      </c>
      <c r="E742" s="4" t="str">
        <f t="shared" ref="E742:E747" si="149">"25"</f>
        <v>25</v>
      </c>
      <c r="F742" s="4" t="str">
        <f>"13"</f>
        <v>13</v>
      </c>
      <c r="G742" s="5">
        <v>70.71</v>
      </c>
      <c r="H742" s="5" t="s">
        <v>14</v>
      </c>
      <c r="I742" s="5">
        <v>74.1</v>
      </c>
      <c r="J742" s="5" t="s">
        <v>14</v>
      </c>
      <c r="K742" s="7">
        <v>73.08</v>
      </c>
      <c r="L742" s="8">
        <v>17</v>
      </c>
      <c r="M742" s="9"/>
    </row>
    <row r="743" s="1" customFormat="1" ht="20.1" customHeight="1" spans="1:13">
      <c r="A743" s="4" t="str">
        <f>"37502022022610444818952"</f>
        <v>37502022022610444818952</v>
      </c>
      <c r="B743" s="4" t="s">
        <v>731</v>
      </c>
      <c r="C743" s="4" t="s">
        <v>749</v>
      </c>
      <c r="D743" s="4" t="str">
        <f>"20220102618"</f>
        <v>20220102618</v>
      </c>
      <c r="E743" s="4" t="str">
        <f t="shared" si="148"/>
        <v>26</v>
      </c>
      <c r="F743" s="4" t="str">
        <f>"18"</f>
        <v>18</v>
      </c>
      <c r="G743" s="5">
        <v>75.46</v>
      </c>
      <c r="H743" s="5" t="s">
        <v>14</v>
      </c>
      <c r="I743" s="5">
        <v>71.2</v>
      </c>
      <c r="J743" s="5" t="s">
        <v>14</v>
      </c>
      <c r="K743" s="7">
        <v>72.48</v>
      </c>
      <c r="L743" s="8">
        <v>18</v>
      </c>
      <c r="M743" s="9"/>
    </row>
    <row r="744" s="1" customFormat="1" ht="20.1" customHeight="1" spans="1:13">
      <c r="A744" s="4" t="str">
        <f>"37502022030109392923267"</f>
        <v>37502022030109392923267</v>
      </c>
      <c r="B744" s="4" t="s">
        <v>731</v>
      </c>
      <c r="C744" s="4" t="s">
        <v>750</v>
      </c>
      <c r="D744" s="4" t="str">
        <f>"20220102516"</f>
        <v>20220102516</v>
      </c>
      <c r="E744" s="4" t="str">
        <f t="shared" si="149"/>
        <v>25</v>
      </c>
      <c r="F744" s="4" t="str">
        <f>"16"</f>
        <v>16</v>
      </c>
      <c r="G744" s="5">
        <v>66.96</v>
      </c>
      <c r="H744" s="5" t="s">
        <v>14</v>
      </c>
      <c r="I744" s="5">
        <v>74.5</v>
      </c>
      <c r="J744" s="5" t="s">
        <v>14</v>
      </c>
      <c r="K744" s="7">
        <v>72.24</v>
      </c>
      <c r="L744" s="8">
        <v>19</v>
      </c>
      <c r="M744" s="9"/>
    </row>
    <row r="745" s="1" customFormat="1" ht="20.1" customHeight="1" spans="1:13">
      <c r="A745" s="4" t="str">
        <f>"37502022022807572221278"</f>
        <v>37502022022807572221278</v>
      </c>
      <c r="B745" s="4" t="s">
        <v>731</v>
      </c>
      <c r="C745" s="4" t="s">
        <v>751</v>
      </c>
      <c r="D745" s="4" t="str">
        <f>"20220102619"</f>
        <v>20220102619</v>
      </c>
      <c r="E745" s="4" t="str">
        <f t="shared" si="148"/>
        <v>26</v>
      </c>
      <c r="F745" s="4" t="str">
        <f>"19"</f>
        <v>19</v>
      </c>
      <c r="G745" s="5">
        <v>65.75</v>
      </c>
      <c r="H745" s="5" t="s">
        <v>14</v>
      </c>
      <c r="I745" s="5">
        <v>74.7</v>
      </c>
      <c r="J745" s="5" t="s">
        <v>14</v>
      </c>
      <c r="K745" s="7">
        <v>72.02</v>
      </c>
      <c r="L745" s="8">
        <v>20</v>
      </c>
      <c r="M745" s="9"/>
    </row>
    <row r="746" s="1" customFormat="1" ht="20.1" customHeight="1" spans="1:13">
      <c r="A746" s="4" t="str">
        <f>"37502022022821173522999"</f>
        <v>37502022022821173522999</v>
      </c>
      <c r="B746" s="4" t="s">
        <v>731</v>
      </c>
      <c r="C746" s="4" t="s">
        <v>676</v>
      </c>
      <c r="D746" s="4" t="str">
        <f>"20220102518"</f>
        <v>20220102518</v>
      </c>
      <c r="E746" s="4" t="str">
        <f t="shared" si="149"/>
        <v>25</v>
      </c>
      <c r="F746" s="4" t="str">
        <f>"18"</f>
        <v>18</v>
      </c>
      <c r="G746" s="5">
        <v>65.74</v>
      </c>
      <c r="H746" s="5" t="s">
        <v>14</v>
      </c>
      <c r="I746" s="5">
        <v>72.1</v>
      </c>
      <c r="J746" s="5" t="s">
        <v>14</v>
      </c>
      <c r="K746" s="7">
        <v>70.19</v>
      </c>
      <c r="L746" s="8">
        <v>21</v>
      </c>
      <c r="M746" s="9"/>
    </row>
    <row r="747" s="1" customFormat="1" ht="20.1" customHeight="1" spans="1:13">
      <c r="A747" s="4" t="str">
        <f>"37502022030110422823430"</f>
        <v>37502022030110422823430</v>
      </c>
      <c r="B747" s="4" t="s">
        <v>731</v>
      </c>
      <c r="C747" s="4" t="s">
        <v>752</v>
      </c>
      <c r="D747" s="4" t="str">
        <f>"20220102515"</f>
        <v>20220102515</v>
      </c>
      <c r="E747" s="4" t="str">
        <f t="shared" si="149"/>
        <v>25</v>
      </c>
      <c r="F747" s="4" t="str">
        <f>"15"</f>
        <v>15</v>
      </c>
      <c r="G747" s="5">
        <v>66.09</v>
      </c>
      <c r="H747" s="5" t="s">
        <v>14</v>
      </c>
      <c r="I747" s="5">
        <v>71.9</v>
      </c>
      <c r="J747" s="5" t="s">
        <v>14</v>
      </c>
      <c r="K747" s="7">
        <v>70.16</v>
      </c>
      <c r="L747" s="8">
        <v>22</v>
      </c>
      <c r="M747" s="9"/>
    </row>
    <row r="748" s="1" customFormat="1" ht="20.1" customHeight="1" spans="1:13">
      <c r="A748" s="4" t="str">
        <f>"37502022030122380524704"</f>
        <v>37502022030122380524704</v>
      </c>
      <c r="B748" s="4" t="s">
        <v>731</v>
      </c>
      <c r="C748" s="4" t="s">
        <v>753</v>
      </c>
      <c r="D748" s="4" t="str">
        <f>"20220102606"</f>
        <v>20220102606</v>
      </c>
      <c r="E748" s="4" t="str">
        <f t="shared" ref="E748:E751" si="150">"26"</f>
        <v>26</v>
      </c>
      <c r="F748" s="4" t="str">
        <f>"06"</f>
        <v>06</v>
      </c>
      <c r="G748" s="5">
        <v>61.98</v>
      </c>
      <c r="H748" s="5" t="s">
        <v>14</v>
      </c>
      <c r="I748" s="5">
        <v>71.8</v>
      </c>
      <c r="J748" s="5" t="s">
        <v>14</v>
      </c>
      <c r="K748" s="7">
        <v>68.85</v>
      </c>
      <c r="L748" s="8">
        <v>23</v>
      </c>
      <c r="M748" s="9"/>
    </row>
    <row r="749" s="1" customFormat="1" ht="20.1" customHeight="1" spans="1:13">
      <c r="A749" s="4" t="str">
        <f>"37502022030117551324173"</f>
        <v>37502022030117551324173</v>
      </c>
      <c r="B749" s="4" t="s">
        <v>731</v>
      </c>
      <c r="C749" s="4" t="s">
        <v>754</v>
      </c>
      <c r="D749" s="4" t="str">
        <f>"20220102506"</f>
        <v>20220102506</v>
      </c>
      <c r="E749" s="4" t="str">
        <f t="shared" ref="E749:E754" si="151">"25"</f>
        <v>25</v>
      </c>
      <c r="F749" s="4" t="str">
        <f>"06"</f>
        <v>06</v>
      </c>
      <c r="G749" s="5">
        <v>72.43</v>
      </c>
      <c r="H749" s="5" t="s">
        <v>14</v>
      </c>
      <c r="I749" s="5">
        <v>66.7</v>
      </c>
      <c r="J749" s="5" t="s">
        <v>14</v>
      </c>
      <c r="K749" s="7">
        <v>68.42</v>
      </c>
      <c r="L749" s="8">
        <v>24</v>
      </c>
      <c r="M749" s="9"/>
    </row>
    <row r="750" s="1" customFormat="1" ht="20.1" customHeight="1" spans="1:13">
      <c r="A750" s="4" t="str">
        <f>"37502022022822001223041"</f>
        <v>37502022022822001223041</v>
      </c>
      <c r="B750" s="4" t="s">
        <v>731</v>
      </c>
      <c r="C750" s="4" t="s">
        <v>755</v>
      </c>
      <c r="D750" s="4" t="str">
        <f>"20220102601"</f>
        <v>20220102601</v>
      </c>
      <c r="E750" s="4" t="str">
        <f t="shared" si="150"/>
        <v>26</v>
      </c>
      <c r="F750" s="4" t="str">
        <f>"01"</f>
        <v>01</v>
      </c>
      <c r="G750" s="5">
        <v>62.72</v>
      </c>
      <c r="H750" s="5" t="s">
        <v>14</v>
      </c>
      <c r="I750" s="5">
        <v>70</v>
      </c>
      <c r="J750" s="5" t="s">
        <v>14</v>
      </c>
      <c r="K750" s="7">
        <v>67.82</v>
      </c>
      <c r="L750" s="8">
        <v>25</v>
      </c>
      <c r="M750" s="9"/>
    </row>
    <row r="751" s="1" customFormat="1" ht="20.1" customHeight="1" spans="1:13">
      <c r="A751" s="4" t="str">
        <f>"37502022022715340520349"</f>
        <v>37502022022715340520349</v>
      </c>
      <c r="B751" s="4" t="s">
        <v>731</v>
      </c>
      <c r="C751" s="4" t="s">
        <v>756</v>
      </c>
      <c r="D751" s="4" t="str">
        <f>"20220102604"</f>
        <v>20220102604</v>
      </c>
      <c r="E751" s="4" t="str">
        <f t="shared" si="150"/>
        <v>26</v>
      </c>
      <c r="F751" s="4" t="str">
        <f>"04"</f>
        <v>04</v>
      </c>
      <c r="G751" s="5">
        <v>63.87</v>
      </c>
      <c r="H751" s="5" t="s">
        <v>14</v>
      </c>
      <c r="I751" s="5">
        <v>67.2</v>
      </c>
      <c r="J751" s="5" t="s">
        <v>14</v>
      </c>
      <c r="K751" s="7">
        <v>66.2</v>
      </c>
      <c r="L751" s="8">
        <v>26</v>
      </c>
      <c r="M751" s="9"/>
    </row>
    <row r="752" s="1" customFormat="1" ht="20.1" customHeight="1" spans="1:13">
      <c r="A752" s="4" t="str">
        <f>"37502022022617583519478"</f>
        <v>37502022022617583519478</v>
      </c>
      <c r="B752" s="4" t="s">
        <v>731</v>
      </c>
      <c r="C752" s="4" t="s">
        <v>757</v>
      </c>
      <c r="D752" s="4" t="str">
        <f>"20220102514"</f>
        <v>20220102514</v>
      </c>
      <c r="E752" s="4" t="str">
        <f t="shared" si="151"/>
        <v>25</v>
      </c>
      <c r="F752" s="4" t="str">
        <f>"14"</f>
        <v>14</v>
      </c>
      <c r="G752" s="5">
        <v>54.19</v>
      </c>
      <c r="H752" s="5" t="s">
        <v>14</v>
      </c>
      <c r="I752" s="5">
        <v>71.3</v>
      </c>
      <c r="J752" s="5" t="s">
        <v>14</v>
      </c>
      <c r="K752" s="7">
        <v>66.17</v>
      </c>
      <c r="L752" s="8">
        <v>27</v>
      </c>
      <c r="M752" s="9"/>
    </row>
    <row r="753" s="1" customFormat="1" ht="20.1" customHeight="1" spans="1:13">
      <c r="A753" s="4" t="str">
        <f>"37502022022811425521829"</f>
        <v>37502022022811425521829</v>
      </c>
      <c r="B753" s="4" t="s">
        <v>731</v>
      </c>
      <c r="C753" s="4" t="s">
        <v>758</v>
      </c>
      <c r="D753" s="4" t="str">
        <f>"20220102610"</f>
        <v>20220102610</v>
      </c>
      <c r="E753" s="4" t="str">
        <f>"26"</f>
        <v>26</v>
      </c>
      <c r="F753" s="4" t="str">
        <f>"10"</f>
        <v>10</v>
      </c>
      <c r="G753" s="5">
        <v>59.73</v>
      </c>
      <c r="H753" s="5" t="s">
        <v>14</v>
      </c>
      <c r="I753" s="5">
        <v>62.7</v>
      </c>
      <c r="J753" s="5" t="s">
        <v>14</v>
      </c>
      <c r="K753" s="7">
        <v>61.81</v>
      </c>
      <c r="L753" s="8">
        <v>28</v>
      </c>
      <c r="M753" s="9"/>
    </row>
    <row r="754" s="1" customFormat="1" ht="20.1" customHeight="1" spans="1:13">
      <c r="A754" s="4" t="str">
        <f>"37502022030214293325392"</f>
        <v>37502022030214293325392</v>
      </c>
      <c r="B754" s="4" t="s">
        <v>731</v>
      </c>
      <c r="C754" s="4" t="s">
        <v>759</v>
      </c>
      <c r="D754" s="4" t="str">
        <f>"20220102522"</f>
        <v>20220102522</v>
      </c>
      <c r="E754" s="4" t="str">
        <f t="shared" si="151"/>
        <v>25</v>
      </c>
      <c r="F754" s="4" t="str">
        <f>"22"</f>
        <v>22</v>
      </c>
      <c r="G754" s="5">
        <v>48.41</v>
      </c>
      <c r="H754" s="5" t="s">
        <v>14</v>
      </c>
      <c r="I754" s="5">
        <v>55.6</v>
      </c>
      <c r="J754" s="5" t="s">
        <v>14</v>
      </c>
      <c r="K754" s="7">
        <v>53.44</v>
      </c>
      <c r="L754" s="8">
        <v>29</v>
      </c>
      <c r="M754" s="9"/>
    </row>
    <row r="755" s="1" customFormat="1" ht="20.1" customHeight="1" spans="1:13">
      <c r="A755" s="4" t="str">
        <f>"37502022022609333918731"</f>
        <v>37502022022609333918731</v>
      </c>
      <c r="B755" s="4" t="s">
        <v>731</v>
      </c>
      <c r="C755" s="4" t="s">
        <v>760</v>
      </c>
      <c r="D755" s="4" t="str">
        <f>"20220102613"</f>
        <v>20220102613</v>
      </c>
      <c r="E755" s="4" t="str">
        <f>"26"</f>
        <v>26</v>
      </c>
      <c r="F755" s="4" t="str">
        <f>"13"</f>
        <v>13</v>
      </c>
      <c r="G755" s="5">
        <v>0</v>
      </c>
      <c r="H755" s="5" t="s">
        <v>74</v>
      </c>
      <c r="I755" s="5">
        <v>0</v>
      </c>
      <c r="J755" s="5" t="s">
        <v>74</v>
      </c>
      <c r="K755" s="7">
        <v>0</v>
      </c>
      <c r="L755" s="8">
        <v>30</v>
      </c>
      <c r="M755" s="9"/>
    </row>
    <row r="756" s="1" customFormat="1" ht="20.1" customHeight="1" spans="1:13">
      <c r="A756" s="4" t="str">
        <f>"37502022022615370819320"</f>
        <v>37502022022615370819320</v>
      </c>
      <c r="B756" s="4" t="s">
        <v>731</v>
      </c>
      <c r="C756" s="4" t="s">
        <v>761</v>
      </c>
      <c r="D756" s="4" t="str">
        <f>"20220102510"</f>
        <v>20220102510</v>
      </c>
      <c r="E756" s="4" t="str">
        <f t="shared" ref="E756:E761" si="152">"25"</f>
        <v>25</v>
      </c>
      <c r="F756" s="4" t="str">
        <f>"10"</f>
        <v>10</v>
      </c>
      <c r="G756" s="5">
        <v>0</v>
      </c>
      <c r="H756" s="5" t="s">
        <v>74</v>
      </c>
      <c r="I756" s="5">
        <v>0</v>
      </c>
      <c r="J756" s="5" t="s">
        <v>74</v>
      </c>
      <c r="K756" s="7">
        <v>0</v>
      </c>
      <c r="L756" s="8">
        <v>30</v>
      </c>
      <c r="M756" s="9"/>
    </row>
    <row r="757" s="1" customFormat="1" ht="20.1" customHeight="1" spans="1:13">
      <c r="A757" s="4" t="str">
        <f>"37502022022705174119856"</f>
        <v>37502022022705174119856</v>
      </c>
      <c r="B757" s="4" t="s">
        <v>731</v>
      </c>
      <c r="C757" s="4" t="s">
        <v>762</v>
      </c>
      <c r="D757" s="4" t="str">
        <f>"20220102507"</f>
        <v>20220102507</v>
      </c>
      <c r="E757" s="4" t="str">
        <f t="shared" si="152"/>
        <v>25</v>
      </c>
      <c r="F757" s="4" t="str">
        <f>"07"</f>
        <v>07</v>
      </c>
      <c r="G757" s="5">
        <v>0</v>
      </c>
      <c r="H757" s="5" t="s">
        <v>74</v>
      </c>
      <c r="I757" s="5">
        <v>0</v>
      </c>
      <c r="J757" s="5" t="s">
        <v>74</v>
      </c>
      <c r="K757" s="7">
        <v>0</v>
      </c>
      <c r="L757" s="8">
        <v>30</v>
      </c>
      <c r="M757" s="9"/>
    </row>
    <row r="758" s="1" customFormat="1" ht="20.1" customHeight="1" spans="1:13">
      <c r="A758" s="4" t="str">
        <f>"37502022022719105020641"</f>
        <v>37502022022719105020641</v>
      </c>
      <c r="B758" s="4" t="s">
        <v>731</v>
      </c>
      <c r="C758" s="4" t="s">
        <v>763</v>
      </c>
      <c r="D758" s="4" t="str">
        <f>"20220102509"</f>
        <v>20220102509</v>
      </c>
      <c r="E758" s="4" t="str">
        <f t="shared" si="152"/>
        <v>25</v>
      </c>
      <c r="F758" s="4" t="str">
        <f>"09"</f>
        <v>09</v>
      </c>
      <c r="G758" s="5">
        <v>0</v>
      </c>
      <c r="H758" s="5" t="s">
        <v>74</v>
      </c>
      <c r="I758" s="5">
        <v>0</v>
      </c>
      <c r="J758" s="5" t="s">
        <v>74</v>
      </c>
      <c r="K758" s="7">
        <v>0</v>
      </c>
      <c r="L758" s="8">
        <v>30</v>
      </c>
      <c r="M758" s="9"/>
    </row>
    <row r="759" s="1" customFormat="1" ht="20.1" customHeight="1" spans="1:13">
      <c r="A759" s="4" t="str">
        <f>"37502022022809292721458"</f>
        <v>37502022022809292721458</v>
      </c>
      <c r="B759" s="4" t="s">
        <v>731</v>
      </c>
      <c r="C759" s="4" t="s">
        <v>764</v>
      </c>
      <c r="D759" s="4" t="str">
        <f>"20220102523"</f>
        <v>20220102523</v>
      </c>
      <c r="E759" s="4" t="str">
        <f t="shared" si="152"/>
        <v>25</v>
      </c>
      <c r="F759" s="4" t="str">
        <f>"23"</f>
        <v>23</v>
      </c>
      <c r="G759" s="5">
        <v>0</v>
      </c>
      <c r="H759" s="5" t="s">
        <v>74</v>
      </c>
      <c r="I759" s="5">
        <v>0</v>
      </c>
      <c r="J759" s="5" t="s">
        <v>74</v>
      </c>
      <c r="K759" s="7">
        <v>0</v>
      </c>
      <c r="L759" s="8">
        <v>30</v>
      </c>
      <c r="M759" s="9"/>
    </row>
    <row r="760" s="1" customFormat="1" ht="20.1" customHeight="1" spans="1:13">
      <c r="A760" s="4" t="str">
        <f>"37502022022810325421633"</f>
        <v>37502022022810325421633</v>
      </c>
      <c r="B760" s="4" t="s">
        <v>731</v>
      </c>
      <c r="C760" s="4" t="s">
        <v>765</v>
      </c>
      <c r="D760" s="4" t="str">
        <f>"20220102505"</f>
        <v>20220102505</v>
      </c>
      <c r="E760" s="4" t="str">
        <f t="shared" si="152"/>
        <v>25</v>
      </c>
      <c r="F760" s="4" t="str">
        <f>"05"</f>
        <v>05</v>
      </c>
      <c r="G760" s="5">
        <v>0</v>
      </c>
      <c r="H760" s="5" t="s">
        <v>74</v>
      </c>
      <c r="I760" s="5">
        <v>0</v>
      </c>
      <c r="J760" s="5" t="s">
        <v>74</v>
      </c>
      <c r="K760" s="7">
        <v>0</v>
      </c>
      <c r="L760" s="8">
        <v>30</v>
      </c>
      <c r="M760" s="9"/>
    </row>
    <row r="761" s="1" customFormat="1" ht="20.1" customHeight="1" spans="1:13">
      <c r="A761" s="4" t="str">
        <f>"37502022022822050323045"</f>
        <v>37502022022822050323045</v>
      </c>
      <c r="B761" s="4" t="s">
        <v>731</v>
      </c>
      <c r="C761" s="4" t="s">
        <v>766</v>
      </c>
      <c r="D761" s="4" t="str">
        <f>"20220102520"</f>
        <v>20220102520</v>
      </c>
      <c r="E761" s="4" t="str">
        <f t="shared" si="152"/>
        <v>25</v>
      </c>
      <c r="F761" s="4" t="str">
        <f>"20"</f>
        <v>20</v>
      </c>
      <c r="G761" s="5">
        <v>0</v>
      </c>
      <c r="H761" s="5" t="s">
        <v>74</v>
      </c>
      <c r="I761" s="5">
        <v>0</v>
      </c>
      <c r="J761" s="5" t="s">
        <v>74</v>
      </c>
      <c r="K761" s="7">
        <v>0</v>
      </c>
      <c r="L761" s="8">
        <v>30</v>
      </c>
      <c r="M761" s="9"/>
    </row>
    <row r="762" s="1" customFormat="1" ht="20.1" customHeight="1" spans="1:13">
      <c r="A762" s="4" t="str">
        <f>"37502022030107575123112"</f>
        <v>37502022030107575123112</v>
      </c>
      <c r="B762" s="4" t="s">
        <v>731</v>
      </c>
      <c r="C762" s="4" t="s">
        <v>767</v>
      </c>
      <c r="D762" s="4" t="str">
        <f>"20220102612"</f>
        <v>20220102612</v>
      </c>
      <c r="E762" s="4" t="str">
        <f t="shared" ref="E762:E768" si="153">"26"</f>
        <v>26</v>
      </c>
      <c r="F762" s="4" t="str">
        <f>"12"</f>
        <v>12</v>
      </c>
      <c r="G762" s="5">
        <v>0</v>
      </c>
      <c r="H762" s="5" t="s">
        <v>74</v>
      </c>
      <c r="I762" s="5">
        <v>0</v>
      </c>
      <c r="J762" s="5" t="s">
        <v>74</v>
      </c>
      <c r="K762" s="7">
        <v>0</v>
      </c>
      <c r="L762" s="8">
        <v>30</v>
      </c>
      <c r="M762" s="9"/>
    </row>
    <row r="763" s="1" customFormat="1" ht="20.1" customHeight="1" spans="1:13">
      <c r="A763" s="4" t="str">
        <f>"37502022030111184023517"</f>
        <v>37502022030111184023517</v>
      </c>
      <c r="B763" s="4" t="s">
        <v>731</v>
      </c>
      <c r="C763" s="4" t="s">
        <v>768</v>
      </c>
      <c r="D763" s="4" t="str">
        <f>"20220102524"</f>
        <v>20220102524</v>
      </c>
      <c r="E763" s="4" t="str">
        <f>"25"</f>
        <v>25</v>
      </c>
      <c r="F763" s="4" t="str">
        <f>"24"</f>
        <v>24</v>
      </c>
      <c r="G763" s="5">
        <v>0</v>
      </c>
      <c r="H763" s="5" t="s">
        <v>74</v>
      </c>
      <c r="I763" s="5">
        <v>0</v>
      </c>
      <c r="J763" s="5" t="s">
        <v>74</v>
      </c>
      <c r="K763" s="7">
        <v>0</v>
      </c>
      <c r="L763" s="8">
        <v>30</v>
      </c>
      <c r="M763" s="9"/>
    </row>
    <row r="764" s="1" customFormat="1" ht="20.1" customHeight="1" spans="1:13">
      <c r="A764" s="4" t="str">
        <f>"37502022030112012123594"</f>
        <v>37502022030112012123594</v>
      </c>
      <c r="B764" s="4" t="s">
        <v>731</v>
      </c>
      <c r="C764" s="4" t="s">
        <v>769</v>
      </c>
      <c r="D764" s="4" t="str">
        <f>"20220102607"</f>
        <v>20220102607</v>
      </c>
      <c r="E764" s="4" t="str">
        <f t="shared" si="153"/>
        <v>26</v>
      </c>
      <c r="F764" s="4" t="str">
        <f>"07"</f>
        <v>07</v>
      </c>
      <c r="G764" s="5">
        <v>0</v>
      </c>
      <c r="H764" s="5" t="s">
        <v>74</v>
      </c>
      <c r="I764" s="5">
        <v>0</v>
      </c>
      <c r="J764" s="5" t="s">
        <v>74</v>
      </c>
      <c r="K764" s="7">
        <v>0</v>
      </c>
      <c r="L764" s="8">
        <v>30</v>
      </c>
      <c r="M764" s="9"/>
    </row>
    <row r="765" s="1" customFormat="1" ht="20.1" customHeight="1" spans="1:13">
      <c r="A765" s="4" t="str">
        <f>"37502022030112281623635"</f>
        <v>37502022030112281623635</v>
      </c>
      <c r="B765" s="4" t="s">
        <v>731</v>
      </c>
      <c r="C765" s="4" t="s">
        <v>770</v>
      </c>
      <c r="D765" s="4" t="str">
        <f>"20220102525"</f>
        <v>20220102525</v>
      </c>
      <c r="E765" s="4" t="str">
        <f>"25"</f>
        <v>25</v>
      </c>
      <c r="F765" s="4" t="str">
        <f>"25"</f>
        <v>25</v>
      </c>
      <c r="G765" s="5">
        <v>0</v>
      </c>
      <c r="H765" s="5" t="s">
        <v>74</v>
      </c>
      <c r="I765" s="5">
        <v>0</v>
      </c>
      <c r="J765" s="5" t="s">
        <v>74</v>
      </c>
      <c r="K765" s="7">
        <v>0</v>
      </c>
      <c r="L765" s="8">
        <v>30</v>
      </c>
      <c r="M765" s="9"/>
    </row>
    <row r="766" s="1" customFormat="1" ht="20.1" customHeight="1" spans="1:13">
      <c r="A766" s="4" t="str">
        <f>"37502022030113373423767"</f>
        <v>37502022030113373423767</v>
      </c>
      <c r="B766" s="4" t="s">
        <v>731</v>
      </c>
      <c r="C766" s="4" t="s">
        <v>771</v>
      </c>
      <c r="D766" s="4" t="str">
        <f>"20220102602"</f>
        <v>20220102602</v>
      </c>
      <c r="E766" s="4" t="str">
        <f t="shared" si="153"/>
        <v>26</v>
      </c>
      <c r="F766" s="4" t="str">
        <f>"02"</f>
        <v>02</v>
      </c>
      <c r="G766" s="5">
        <v>0</v>
      </c>
      <c r="H766" s="5" t="s">
        <v>74</v>
      </c>
      <c r="I766" s="5">
        <v>0</v>
      </c>
      <c r="J766" s="5" t="s">
        <v>74</v>
      </c>
      <c r="K766" s="7">
        <v>0</v>
      </c>
      <c r="L766" s="8">
        <v>30</v>
      </c>
      <c r="M766" s="9"/>
    </row>
    <row r="767" s="1" customFormat="1" ht="20.1" customHeight="1" spans="1:13">
      <c r="A767" s="4" t="str">
        <f>"37502022030120461124504"</f>
        <v>37502022030120461124504</v>
      </c>
      <c r="B767" s="4" t="s">
        <v>731</v>
      </c>
      <c r="C767" s="4" t="s">
        <v>476</v>
      </c>
      <c r="D767" s="4" t="str">
        <f>"20220102615"</f>
        <v>20220102615</v>
      </c>
      <c r="E767" s="4" t="str">
        <f t="shared" si="153"/>
        <v>26</v>
      </c>
      <c r="F767" s="4" t="str">
        <f>"15"</f>
        <v>15</v>
      </c>
      <c r="G767" s="5">
        <v>0</v>
      </c>
      <c r="H767" s="5" t="s">
        <v>74</v>
      </c>
      <c r="I767" s="5">
        <v>0</v>
      </c>
      <c r="J767" s="5" t="s">
        <v>74</v>
      </c>
      <c r="K767" s="7">
        <v>0</v>
      </c>
      <c r="L767" s="8">
        <v>30</v>
      </c>
      <c r="M767" s="9"/>
    </row>
    <row r="768" s="1" customFormat="1" ht="20.1" customHeight="1" spans="1:13">
      <c r="A768" s="4" t="str">
        <f>"37502022030122381624705"</f>
        <v>37502022030122381624705</v>
      </c>
      <c r="B768" s="4" t="s">
        <v>731</v>
      </c>
      <c r="C768" s="4" t="s">
        <v>772</v>
      </c>
      <c r="D768" s="4" t="str">
        <f>"20220102603"</f>
        <v>20220102603</v>
      </c>
      <c r="E768" s="4" t="str">
        <f t="shared" si="153"/>
        <v>26</v>
      </c>
      <c r="F768" s="4" t="str">
        <f>"03"</f>
        <v>03</v>
      </c>
      <c r="G768" s="5">
        <v>0</v>
      </c>
      <c r="H768" s="5" t="s">
        <v>74</v>
      </c>
      <c r="I768" s="5">
        <v>0</v>
      </c>
      <c r="J768" s="5" t="s">
        <v>74</v>
      </c>
      <c r="K768" s="7">
        <v>0</v>
      </c>
      <c r="L768" s="8">
        <v>30</v>
      </c>
      <c r="M768" s="9"/>
    </row>
    <row r="769" s="1" customFormat="1" ht="20.1" customHeight="1" spans="1:13">
      <c r="A769" s="4" t="str">
        <f>"37502022030208064724816"</f>
        <v>37502022030208064724816</v>
      </c>
      <c r="B769" s="4" t="s">
        <v>731</v>
      </c>
      <c r="C769" s="4" t="s">
        <v>773</v>
      </c>
      <c r="D769" s="4" t="str">
        <f>"20220102517"</f>
        <v>20220102517</v>
      </c>
      <c r="E769" s="4" t="str">
        <f>"25"</f>
        <v>25</v>
      </c>
      <c r="F769" s="4" t="str">
        <f>"17"</f>
        <v>17</v>
      </c>
      <c r="G769" s="5">
        <v>0</v>
      </c>
      <c r="H769" s="5" t="s">
        <v>74</v>
      </c>
      <c r="I769" s="5">
        <v>0</v>
      </c>
      <c r="J769" s="5" t="s">
        <v>74</v>
      </c>
      <c r="K769" s="7">
        <v>0</v>
      </c>
      <c r="L769" s="8">
        <v>30</v>
      </c>
      <c r="M769" s="9"/>
    </row>
    <row r="770" s="1" customFormat="1" ht="20.1" customHeight="1" spans="1:13">
      <c r="A770" s="4" t="str">
        <f>"37502022030216060125515"</f>
        <v>37502022030216060125515</v>
      </c>
      <c r="B770" s="4" t="s">
        <v>731</v>
      </c>
      <c r="C770" s="4" t="s">
        <v>774</v>
      </c>
      <c r="D770" s="4" t="str">
        <f>"20220102616"</f>
        <v>20220102616</v>
      </c>
      <c r="E770" s="4" t="str">
        <f t="shared" ref="E770:E774" si="154">"26"</f>
        <v>26</v>
      </c>
      <c r="F770" s="4" t="str">
        <f>"16"</f>
        <v>16</v>
      </c>
      <c r="G770" s="5">
        <v>0</v>
      </c>
      <c r="H770" s="5" t="s">
        <v>74</v>
      </c>
      <c r="I770" s="5">
        <v>0</v>
      </c>
      <c r="J770" s="5" t="s">
        <v>74</v>
      </c>
      <c r="K770" s="7">
        <v>0</v>
      </c>
      <c r="L770" s="8">
        <v>30</v>
      </c>
      <c r="M770" s="9"/>
    </row>
    <row r="771" s="1" customFormat="1" ht="20.1" customHeight="1" spans="1:13">
      <c r="A771" s="4" t="str">
        <f>"37502022030221111325994"</f>
        <v>37502022030221111325994</v>
      </c>
      <c r="B771" s="4" t="s">
        <v>731</v>
      </c>
      <c r="C771" s="4" t="s">
        <v>775</v>
      </c>
      <c r="D771" s="4" t="str">
        <f>"20220102609"</f>
        <v>20220102609</v>
      </c>
      <c r="E771" s="4" t="str">
        <f t="shared" si="154"/>
        <v>26</v>
      </c>
      <c r="F771" s="4" t="str">
        <f>"09"</f>
        <v>09</v>
      </c>
      <c r="G771" s="5">
        <v>0</v>
      </c>
      <c r="H771" s="5" t="s">
        <v>74</v>
      </c>
      <c r="I771" s="5">
        <v>0</v>
      </c>
      <c r="J771" s="5" t="s">
        <v>74</v>
      </c>
      <c r="K771" s="7">
        <v>0</v>
      </c>
      <c r="L771" s="8">
        <v>30</v>
      </c>
      <c r="M771" s="9"/>
    </row>
    <row r="772" s="1" customFormat="1" ht="20.1" customHeight="1" spans="1:13">
      <c r="A772" s="4" t="str">
        <f>"37502022022721284320932"</f>
        <v>37502022022721284320932</v>
      </c>
      <c r="B772" s="4" t="s">
        <v>776</v>
      </c>
      <c r="C772" s="4" t="s">
        <v>777</v>
      </c>
      <c r="D772" s="4" t="str">
        <f>"20220112623"</f>
        <v>20220112623</v>
      </c>
      <c r="E772" s="4" t="str">
        <f t="shared" si="154"/>
        <v>26</v>
      </c>
      <c r="F772" s="4" t="str">
        <f>"23"</f>
        <v>23</v>
      </c>
      <c r="G772" s="5">
        <v>74.8</v>
      </c>
      <c r="H772" s="5" t="s">
        <v>14</v>
      </c>
      <c r="I772" s="5">
        <v>83.9</v>
      </c>
      <c r="J772" s="5" t="s">
        <v>14</v>
      </c>
      <c r="K772" s="7">
        <v>81.17</v>
      </c>
      <c r="L772" s="8">
        <v>1</v>
      </c>
      <c r="M772" s="9"/>
    </row>
    <row r="773" s="1" customFormat="1" ht="20.1" customHeight="1" spans="1:13">
      <c r="A773" s="4" t="str">
        <f>"37502022030222181026097"</f>
        <v>37502022030222181026097</v>
      </c>
      <c r="B773" s="4" t="s">
        <v>776</v>
      </c>
      <c r="C773" s="4" t="s">
        <v>778</v>
      </c>
      <c r="D773" s="4" t="str">
        <f>"20220112625"</f>
        <v>20220112625</v>
      </c>
      <c r="E773" s="4" t="str">
        <f t="shared" si="154"/>
        <v>26</v>
      </c>
      <c r="F773" s="4" t="str">
        <f>"25"</f>
        <v>25</v>
      </c>
      <c r="G773" s="5">
        <v>79.26</v>
      </c>
      <c r="H773" s="5" t="s">
        <v>14</v>
      </c>
      <c r="I773" s="5">
        <v>79.9</v>
      </c>
      <c r="J773" s="5" t="s">
        <v>14</v>
      </c>
      <c r="K773" s="7">
        <v>79.71</v>
      </c>
      <c r="L773" s="8">
        <v>2</v>
      </c>
      <c r="M773" s="9"/>
    </row>
    <row r="774" s="1" customFormat="1" ht="20.1" customHeight="1" spans="1:13">
      <c r="A774" s="4" t="str">
        <f>"37502022030220183925898"</f>
        <v>37502022030220183925898</v>
      </c>
      <c r="B774" s="4" t="s">
        <v>776</v>
      </c>
      <c r="C774" s="4" t="s">
        <v>63</v>
      </c>
      <c r="D774" s="4" t="str">
        <f>"20220112630"</f>
        <v>20220112630</v>
      </c>
      <c r="E774" s="4" t="str">
        <f t="shared" si="154"/>
        <v>26</v>
      </c>
      <c r="F774" s="4" t="str">
        <f>"30"</f>
        <v>30</v>
      </c>
      <c r="G774" s="5">
        <v>76.98</v>
      </c>
      <c r="H774" s="5" t="s">
        <v>14</v>
      </c>
      <c r="I774" s="5">
        <v>79.7</v>
      </c>
      <c r="J774" s="5" t="s">
        <v>14</v>
      </c>
      <c r="K774" s="7">
        <v>78.88</v>
      </c>
      <c r="L774" s="8">
        <v>3</v>
      </c>
      <c r="M774" s="9"/>
    </row>
    <row r="775" s="1" customFormat="1" ht="20.1" customHeight="1" spans="1:13">
      <c r="A775" s="4" t="str">
        <f>"37502022022611395219025"</f>
        <v>37502022022611395219025</v>
      </c>
      <c r="B775" s="4" t="s">
        <v>776</v>
      </c>
      <c r="C775" s="4" t="s">
        <v>779</v>
      </c>
      <c r="D775" s="4" t="str">
        <f>"20220112707"</f>
        <v>20220112707</v>
      </c>
      <c r="E775" s="4" t="str">
        <f t="shared" ref="E775:E780" si="155">"27"</f>
        <v>27</v>
      </c>
      <c r="F775" s="4" t="str">
        <f>"07"</f>
        <v>07</v>
      </c>
      <c r="G775" s="5">
        <v>75.64</v>
      </c>
      <c r="H775" s="5" t="s">
        <v>14</v>
      </c>
      <c r="I775" s="5">
        <v>79.4</v>
      </c>
      <c r="J775" s="5" t="s">
        <v>14</v>
      </c>
      <c r="K775" s="7">
        <v>78.27</v>
      </c>
      <c r="L775" s="8">
        <v>4</v>
      </c>
      <c r="M775" s="9"/>
    </row>
    <row r="776" s="1" customFormat="1" ht="20.1" customHeight="1" spans="1:13">
      <c r="A776" s="4" t="str">
        <f>"37502022030107443823106"</f>
        <v>37502022030107443823106</v>
      </c>
      <c r="B776" s="4" t="s">
        <v>776</v>
      </c>
      <c r="C776" s="4" t="s">
        <v>780</v>
      </c>
      <c r="D776" s="4" t="str">
        <f>"20220112804"</f>
        <v>20220112804</v>
      </c>
      <c r="E776" s="4" t="str">
        <f>"28"</f>
        <v>28</v>
      </c>
      <c r="F776" s="4" t="str">
        <f>"04"</f>
        <v>04</v>
      </c>
      <c r="G776" s="5">
        <v>77.04</v>
      </c>
      <c r="H776" s="5" t="s">
        <v>14</v>
      </c>
      <c r="I776" s="5">
        <v>78.3</v>
      </c>
      <c r="J776" s="5" t="s">
        <v>14</v>
      </c>
      <c r="K776" s="7">
        <v>77.92</v>
      </c>
      <c r="L776" s="8">
        <v>5</v>
      </c>
      <c r="M776" s="9"/>
    </row>
    <row r="777" s="1" customFormat="1" ht="20.1" customHeight="1" spans="1:13">
      <c r="A777" s="4" t="str">
        <f>"37502022022814244322260"</f>
        <v>37502022022814244322260</v>
      </c>
      <c r="B777" s="4" t="s">
        <v>776</v>
      </c>
      <c r="C777" s="4" t="s">
        <v>781</v>
      </c>
      <c r="D777" s="4" t="str">
        <f>"20220112626"</f>
        <v>20220112626</v>
      </c>
      <c r="E777" s="4" t="str">
        <f>"26"</f>
        <v>26</v>
      </c>
      <c r="F777" s="4" t="str">
        <f>"26"</f>
        <v>26</v>
      </c>
      <c r="G777" s="5">
        <v>75.99</v>
      </c>
      <c r="H777" s="5" t="s">
        <v>14</v>
      </c>
      <c r="I777" s="5">
        <v>77.3</v>
      </c>
      <c r="J777" s="5" t="s">
        <v>14</v>
      </c>
      <c r="K777" s="7">
        <v>76.91</v>
      </c>
      <c r="L777" s="8">
        <v>6</v>
      </c>
      <c r="M777" s="9"/>
    </row>
    <row r="778" s="1" customFormat="1" ht="20.1" customHeight="1" spans="1:13">
      <c r="A778" s="4" t="str">
        <f>"37502022030211154325109"</f>
        <v>37502022030211154325109</v>
      </c>
      <c r="B778" s="4" t="s">
        <v>776</v>
      </c>
      <c r="C778" s="4" t="s">
        <v>782</v>
      </c>
      <c r="D778" s="4" t="str">
        <f>"20220112622"</f>
        <v>20220112622</v>
      </c>
      <c r="E778" s="4" t="str">
        <f>"26"</f>
        <v>26</v>
      </c>
      <c r="F778" s="4" t="str">
        <f>"22"</f>
        <v>22</v>
      </c>
      <c r="G778" s="5">
        <v>77.49</v>
      </c>
      <c r="H778" s="5" t="s">
        <v>14</v>
      </c>
      <c r="I778" s="5">
        <v>76.4</v>
      </c>
      <c r="J778" s="5" t="s">
        <v>14</v>
      </c>
      <c r="K778" s="7">
        <v>76.73</v>
      </c>
      <c r="L778" s="8">
        <v>7</v>
      </c>
      <c r="M778" s="9"/>
    </row>
    <row r="779" s="1" customFormat="1" ht="20.1" customHeight="1" spans="1:13">
      <c r="A779" s="4" t="str">
        <f>"37502022022609262118714"</f>
        <v>37502022022609262118714</v>
      </c>
      <c r="B779" s="4" t="s">
        <v>776</v>
      </c>
      <c r="C779" s="4" t="s">
        <v>783</v>
      </c>
      <c r="D779" s="4" t="str">
        <f>"20220112729"</f>
        <v>20220112729</v>
      </c>
      <c r="E779" s="4" t="str">
        <f t="shared" si="155"/>
        <v>27</v>
      </c>
      <c r="F779" s="4" t="str">
        <f>"29"</f>
        <v>29</v>
      </c>
      <c r="G779" s="5">
        <v>70.6</v>
      </c>
      <c r="H779" s="5" t="s">
        <v>14</v>
      </c>
      <c r="I779" s="5">
        <v>77.7</v>
      </c>
      <c r="J779" s="5" t="s">
        <v>14</v>
      </c>
      <c r="K779" s="7">
        <v>75.57</v>
      </c>
      <c r="L779" s="8">
        <v>8</v>
      </c>
      <c r="M779" s="9"/>
    </row>
    <row r="780" s="1" customFormat="1" ht="20.1" customHeight="1" spans="1:13">
      <c r="A780" s="4" t="str">
        <f>"37502022022619010219534"</f>
        <v>37502022022619010219534</v>
      </c>
      <c r="B780" s="4" t="s">
        <v>776</v>
      </c>
      <c r="C780" s="4" t="s">
        <v>784</v>
      </c>
      <c r="D780" s="4" t="str">
        <f>"20220112726"</f>
        <v>20220112726</v>
      </c>
      <c r="E780" s="4" t="str">
        <f t="shared" si="155"/>
        <v>27</v>
      </c>
      <c r="F780" s="4" t="str">
        <f>"26"</f>
        <v>26</v>
      </c>
      <c r="G780" s="5">
        <v>71.33</v>
      </c>
      <c r="H780" s="5" t="s">
        <v>14</v>
      </c>
      <c r="I780" s="5">
        <v>76.5</v>
      </c>
      <c r="J780" s="5" t="s">
        <v>14</v>
      </c>
      <c r="K780" s="7">
        <v>74.95</v>
      </c>
      <c r="L780" s="8">
        <v>9</v>
      </c>
      <c r="M780" s="9"/>
    </row>
    <row r="781" s="1" customFormat="1" ht="20.1" customHeight="1" spans="1:13">
      <c r="A781" s="4" t="str">
        <f>"37502022030110100623344"</f>
        <v>37502022030110100623344</v>
      </c>
      <c r="B781" s="4" t="s">
        <v>776</v>
      </c>
      <c r="C781" s="4" t="s">
        <v>785</v>
      </c>
      <c r="D781" s="4" t="str">
        <f>"20220112809"</f>
        <v>20220112809</v>
      </c>
      <c r="E781" s="4" t="str">
        <f>"28"</f>
        <v>28</v>
      </c>
      <c r="F781" s="4" t="str">
        <f>"09"</f>
        <v>09</v>
      </c>
      <c r="G781" s="5">
        <v>69.95</v>
      </c>
      <c r="H781" s="5" t="s">
        <v>14</v>
      </c>
      <c r="I781" s="5">
        <v>76.4</v>
      </c>
      <c r="J781" s="5" t="s">
        <v>14</v>
      </c>
      <c r="K781" s="7">
        <v>74.47</v>
      </c>
      <c r="L781" s="8">
        <v>10</v>
      </c>
      <c r="M781" s="9"/>
    </row>
    <row r="782" s="1" customFormat="1" ht="20.1" customHeight="1" spans="1:13">
      <c r="A782" s="4" t="str">
        <f>"37502022030217582125670"</f>
        <v>37502022030217582125670</v>
      </c>
      <c r="B782" s="4" t="s">
        <v>776</v>
      </c>
      <c r="C782" s="4" t="s">
        <v>786</v>
      </c>
      <c r="D782" s="4" t="str">
        <f>"20220112810"</f>
        <v>20220112810</v>
      </c>
      <c r="E782" s="4" t="str">
        <f>"28"</f>
        <v>28</v>
      </c>
      <c r="F782" s="4" t="str">
        <f>"10"</f>
        <v>10</v>
      </c>
      <c r="G782" s="5">
        <v>66.18</v>
      </c>
      <c r="H782" s="5" t="s">
        <v>14</v>
      </c>
      <c r="I782" s="5">
        <v>77.3</v>
      </c>
      <c r="J782" s="5" t="s">
        <v>14</v>
      </c>
      <c r="K782" s="7">
        <v>73.96</v>
      </c>
      <c r="L782" s="8">
        <v>11</v>
      </c>
      <c r="M782" s="9"/>
    </row>
    <row r="783" s="1" customFormat="1" ht="20.1" customHeight="1" spans="1:13">
      <c r="A783" s="4" t="str">
        <f>"37502022022616552519413"</f>
        <v>37502022022616552519413</v>
      </c>
      <c r="B783" s="4" t="s">
        <v>776</v>
      </c>
      <c r="C783" s="4" t="s">
        <v>787</v>
      </c>
      <c r="D783" s="4" t="str">
        <f>"20220112720"</f>
        <v>20220112720</v>
      </c>
      <c r="E783" s="4" t="str">
        <f>"27"</f>
        <v>27</v>
      </c>
      <c r="F783" s="4" t="str">
        <f>"20"</f>
        <v>20</v>
      </c>
      <c r="G783" s="5">
        <v>69.73</v>
      </c>
      <c r="H783" s="5" t="s">
        <v>14</v>
      </c>
      <c r="I783" s="5">
        <v>75.7</v>
      </c>
      <c r="J783" s="5" t="s">
        <v>14</v>
      </c>
      <c r="K783" s="7">
        <v>73.91</v>
      </c>
      <c r="L783" s="8">
        <v>12</v>
      </c>
      <c r="M783" s="9"/>
    </row>
    <row r="784" s="1" customFormat="1" ht="20.1" customHeight="1" spans="1:13">
      <c r="A784" s="4" t="str">
        <f>"37502022022816291122686"</f>
        <v>37502022022816291122686</v>
      </c>
      <c r="B784" s="4" t="s">
        <v>776</v>
      </c>
      <c r="C784" s="4" t="s">
        <v>788</v>
      </c>
      <c r="D784" s="4" t="str">
        <f>"20220112629"</f>
        <v>20220112629</v>
      </c>
      <c r="E784" s="4" t="str">
        <f t="shared" ref="E784:E788" si="156">"26"</f>
        <v>26</v>
      </c>
      <c r="F784" s="4" t="str">
        <f>"29"</f>
        <v>29</v>
      </c>
      <c r="G784" s="5">
        <v>66.32</v>
      </c>
      <c r="H784" s="5" t="s">
        <v>14</v>
      </c>
      <c r="I784" s="5">
        <v>76.8</v>
      </c>
      <c r="J784" s="5" t="s">
        <v>14</v>
      </c>
      <c r="K784" s="7">
        <v>73.66</v>
      </c>
      <c r="L784" s="8">
        <v>13</v>
      </c>
      <c r="M784" s="9"/>
    </row>
    <row r="785" s="1" customFormat="1" ht="20.1" customHeight="1" spans="1:13">
      <c r="A785" s="4" t="str">
        <f>"37502022030118225324219"</f>
        <v>37502022030118225324219</v>
      </c>
      <c r="B785" s="4" t="s">
        <v>776</v>
      </c>
      <c r="C785" s="4" t="s">
        <v>789</v>
      </c>
      <c r="D785" s="4" t="str">
        <f>"20220112712"</f>
        <v>20220112712</v>
      </c>
      <c r="E785" s="4" t="str">
        <f>"27"</f>
        <v>27</v>
      </c>
      <c r="F785" s="4" t="str">
        <f>"12"</f>
        <v>12</v>
      </c>
      <c r="G785" s="5">
        <v>78.69</v>
      </c>
      <c r="H785" s="5" t="s">
        <v>14</v>
      </c>
      <c r="I785" s="5">
        <v>71.2</v>
      </c>
      <c r="J785" s="5" t="s">
        <v>14</v>
      </c>
      <c r="K785" s="7">
        <v>73.45</v>
      </c>
      <c r="L785" s="8">
        <v>14</v>
      </c>
      <c r="M785" s="9"/>
    </row>
    <row r="786" s="1" customFormat="1" ht="20.1" customHeight="1" spans="1:13">
      <c r="A786" s="4" t="str">
        <f>"37502022030202084324778"</f>
        <v>37502022030202084324778</v>
      </c>
      <c r="B786" s="4" t="s">
        <v>776</v>
      </c>
      <c r="C786" s="4" t="s">
        <v>790</v>
      </c>
      <c r="D786" s="4" t="str">
        <f>"20220112621"</f>
        <v>20220112621</v>
      </c>
      <c r="E786" s="4" t="str">
        <f t="shared" si="156"/>
        <v>26</v>
      </c>
      <c r="F786" s="4" t="str">
        <f>"21"</f>
        <v>21</v>
      </c>
      <c r="G786" s="5">
        <v>70.02</v>
      </c>
      <c r="H786" s="5" t="s">
        <v>14</v>
      </c>
      <c r="I786" s="5">
        <v>74.9</v>
      </c>
      <c r="J786" s="5" t="s">
        <v>14</v>
      </c>
      <c r="K786" s="7">
        <v>73.44</v>
      </c>
      <c r="L786" s="8">
        <v>15</v>
      </c>
      <c r="M786" s="9"/>
    </row>
    <row r="787" s="1" customFormat="1" ht="20.1" customHeight="1" spans="1:13">
      <c r="A787" s="4" t="str">
        <f>"37502022030215031625441"</f>
        <v>37502022030215031625441</v>
      </c>
      <c r="B787" s="4" t="s">
        <v>776</v>
      </c>
      <c r="C787" s="4" t="s">
        <v>791</v>
      </c>
      <c r="D787" s="4" t="str">
        <f>"20220112620"</f>
        <v>20220112620</v>
      </c>
      <c r="E787" s="4" t="str">
        <f t="shared" si="156"/>
        <v>26</v>
      </c>
      <c r="F787" s="4" t="str">
        <f>"20"</f>
        <v>20</v>
      </c>
      <c r="G787" s="5">
        <v>77.12</v>
      </c>
      <c r="H787" s="5" t="s">
        <v>14</v>
      </c>
      <c r="I787" s="5">
        <v>71.7</v>
      </c>
      <c r="J787" s="5" t="s">
        <v>14</v>
      </c>
      <c r="K787" s="7">
        <v>73.33</v>
      </c>
      <c r="L787" s="8">
        <v>16</v>
      </c>
      <c r="M787" s="9"/>
    </row>
    <row r="788" s="1" customFormat="1" ht="20.1" customHeight="1" spans="1:13">
      <c r="A788" s="4" t="str">
        <f>"37502022030114155223816"</f>
        <v>37502022030114155223816</v>
      </c>
      <c r="B788" s="4" t="s">
        <v>776</v>
      </c>
      <c r="C788" s="4" t="s">
        <v>792</v>
      </c>
      <c r="D788" s="4" t="str">
        <f>"20220112628"</f>
        <v>20220112628</v>
      </c>
      <c r="E788" s="4" t="str">
        <f t="shared" si="156"/>
        <v>26</v>
      </c>
      <c r="F788" s="4" t="str">
        <f>"28"</f>
        <v>28</v>
      </c>
      <c r="G788" s="5">
        <v>74.77</v>
      </c>
      <c r="H788" s="5" t="s">
        <v>14</v>
      </c>
      <c r="I788" s="5">
        <v>72.4</v>
      </c>
      <c r="J788" s="5" t="s">
        <v>14</v>
      </c>
      <c r="K788" s="7">
        <v>73.11</v>
      </c>
      <c r="L788" s="8">
        <v>17</v>
      </c>
      <c r="M788" s="9"/>
    </row>
    <row r="789" s="1" customFormat="1" ht="20.1" customHeight="1" spans="1:13">
      <c r="A789" s="4" t="str">
        <f>"37502022030111032323482"</f>
        <v>37502022030111032323482</v>
      </c>
      <c r="B789" s="4" t="s">
        <v>776</v>
      </c>
      <c r="C789" s="4" t="s">
        <v>793</v>
      </c>
      <c r="D789" s="4" t="str">
        <f>"20220112802"</f>
        <v>20220112802</v>
      </c>
      <c r="E789" s="4" t="str">
        <f>"28"</f>
        <v>28</v>
      </c>
      <c r="F789" s="4" t="str">
        <f>"02"</f>
        <v>02</v>
      </c>
      <c r="G789" s="5">
        <v>68.6</v>
      </c>
      <c r="H789" s="5" t="s">
        <v>14</v>
      </c>
      <c r="I789" s="5">
        <v>74.7</v>
      </c>
      <c r="J789" s="5" t="s">
        <v>14</v>
      </c>
      <c r="K789" s="7">
        <v>72.87</v>
      </c>
      <c r="L789" s="8">
        <v>18</v>
      </c>
      <c r="M789" s="9"/>
    </row>
    <row r="790" s="1" customFormat="1" ht="20.1" customHeight="1" spans="1:13">
      <c r="A790" s="4" t="str">
        <f>"37502022022608592618669"</f>
        <v>37502022022608592618669</v>
      </c>
      <c r="B790" s="4" t="s">
        <v>776</v>
      </c>
      <c r="C790" s="4" t="s">
        <v>794</v>
      </c>
      <c r="D790" s="4" t="str">
        <f>"20220112725"</f>
        <v>20220112725</v>
      </c>
      <c r="E790" s="4" t="str">
        <f t="shared" ref="E790:E809" si="157">"27"</f>
        <v>27</v>
      </c>
      <c r="F790" s="4" t="str">
        <f>"25"</f>
        <v>25</v>
      </c>
      <c r="G790" s="5">
        <v>71.34</v>
      </c>
      <c r="H790" s="5" t="s">
        <v>14</v>
      </c>
      <c r="I790" s="5">
        <v>73.2</v>
      </c>
      <c r="J790" s="5" t="s">
        <v>14</v>
      </c>
      <c r="K790" s="7">
        <v>72.64</v>
      </c>
      <c r="L790" s="8">
        <v>19</v>
      </c>
      <c r="M790" s="9"/>
    </row>
    <row r="791" s="1" customFormat="1" ht="20.1" customHeight="1" spans="1:13">
      <c r="A791" s="4" t="str">
        <f>"37502022022821431223024"</f>
        <v>37502022022821431223024</v>
      </c>
      <c r="B791" s="4" t="s">
        <v>776</v>
      </c>
      <c r="C791" s="4" t="s">
        <v>795</v>
      </c>
      <c r="D791" s="4" t="str">
        <f>"20220112718"</f>
        <v>20220112718</v>
      </c>
      <c r="E791" s="4" t="str">
        <f t="shared" si="157"/>
        <v>27</v>
      </c>
      <c r="F791" s="4" t="str">
        <f>"18"</f>
        <v>18</v>
      </c>
      <c r="G791" s="5">
        <v>71.51</v>
      </c>
      <c r="H791" s="5" t="s">
        <v>14</v>
      </c>
      <c r="I791" s="5">
        <v>72.7</v>
      </c>
      <c r="J791" s="5" t="s">
        <v>14</v>
      </c>
      <c r="K791" s="7">
        <v>72.34</v>
      </c>
      <c r="L791" s="8">
        <v>20</v>
      </c>
      <c r="M791" s="9"/>
    </row>
    <row r="792" s="1" customFormat="1" ht="20.1" customHeight="1" spans="1:13">
      <c r="A792" s="4" t="str">
        <f>"37502022030111284223536"</f>
        <v>37502022030111284223536</v>
      </c>
      <c r="B792" s="4" t="s">
        <v>776</v>
      </c>
      <c r="C792" s="4" t="s">
        <v>796</v>
      </c>
      <c r="D792" s="4" t="str">
        <f>"20220112727"</f>
        <v>20220112727</v>
      </c>
      <c r="E792" s="4" t="str">
        <f t="shared" si="157"/>
        <v>27</v>
      </c>
      <c r="F792" s="4" t="str">
        <f>"27"</f>
        <v>27</v>
      </c>
      <c r="G792" s="5">
        <v>70.92</v>
      </c>
      <c r="H792" s="5" t="s">
        <v>14</v>
      </c>
      <c r="I792" s="5">
        <v>72.8</v>
      </c>
      <c r="J792" s="5" t="s">
        <v>14</v>
      </c>
      <c r="K792" s="7">
        <v>72.24</v>
      </c>
      <c r="L792" s="8">
        <v>21</v>
      </c>
      <c r="M792" s="9"/>
    </row>
    <row r="793" s="1" customFormat="1" ht="20.1" customHeight="1" spans="1:13">
      <c r="A793" s="4" t="str">
        <f>"37502022030122320624696"</f>
        <v>37502022030122320624696</v>
      </c>
      <c r="B793" s="4" t="s">
        <v>776</v>
      </c>
      <c r="C793" s="4" t="s">
        <v>797</v>
      </c>
      <c r="D793" s="4" t="str">
        <f>"20220112724"</f>
        <v>20220112724</v>
      </c>
      <c r="E793" s="4" t="str">
        <f t="shared" si="157"/>
        <v>27</v>
      </c>
      <c r="F793" s="4" t="str">
        <f>"24"</f>
        <v>24</v>
      </c>
      <c r="G793" s="5">
        <v>62.55</v>
      </c>
      <c r="H793" s="5" t="s">
        <v>14</v>
      </c>
      <c r="I793" s="5">
        <v>76.2</v>
      </c>
      <c r="J793" s="5" t="s">
        <v>14</v>
      </c>
      <c r="K793" s="7">
        <v>72.11</v>
      </c>
      <c r="L793" s="8">
        <v>22</v>
      </c>
      <c r="M793" s="9"/>
    </row>
    <row r="794" s="1" customFormat="1" ht="20.1" customHeight="1" spans="1:13">
      <c r="A794" s="4" t="str">
        <f>"37502022030218575925758"</f>
        <v>37502022030218575925758</v>
      </c>
      <c r="B794" s="4" t="s">
        <v>776</v>
      </c>
      <c r="C794" s="4" t="s">
        <v>798</v>
      </c>
      <c r="D794" s="4" t="str">
        <f>"20220112723"</f>
        <v>20220112723</v>
      </c>
      <c r="E794" s="4" t="str">
        <f t="shared" si="157"/>
        <v>27</v>
      </c>
      <c r="F794" s="4" t="str">
        <f>"23"</f>
        <v>23</v>
      </c>
      <c r="G794" s="5">
        <v>56.01</v>
      </c>
      <c r="H794" s="5" t="s">
        <v>14</v>
      </c>
      <c r="I794" s="5">
        <v>78</v>
      </c>
      <c r="J794" s="5" t="s">
        <v>14</v>
      </c>
      <c r="K794" s="7">
        <v>71.4</v>
      </c>
      <c r="L794" s="8">
        <v>23</v>
      </c>
      <c r="M794" s="9"/>
    </row>
    <row r="795" s="1" customFormat="1" ht="20.1" customHeight="1" spans="1:13">
      <c r="A795" s="4" t="str">
        <f>"37502022022716313520452"</f>
        <v>37502022022716313520452</v>
      </c>
      <c r="B795" s="4" t="s">
        <v>776</v>
      </c>
      <c r="C795" s="4" t="s">
        <v>799</v>
      </c>
      <c r="D795" s="4" t="str">
        <f>"20220112715"</f>
        <v>20220112715</v>
      </c>
      <c r="E795" s="4" t="str">
        <f t="shared" si="157"/>
        <v>27</v>
      </c>
      <c r="F795" s="4" t="str">
        <f>"15"</f>
        <v>15</v>
      </c>
      <c r="G795" s="5">
        <v>72.87</v>
      </c>
      <c r="H795" s="5" t="s">
        <v>14</v>
      </c>
      <c r="I795" s="5">
        <v>69.9</v>
      </c>
      <c r="J795" s="5" t="s">
        <v>14</v>
      </c>
      <c r="K795" s="7">
        <v>70.79</v>
      </c>
      <c r="L795" s="8">
        <v>24</v>
      </c>
      <c r="M795" s="9"/>
    </row>
    <row r="796" s="1" customFormat="1" ht="20.1" customHeight="1" spans="1:13">
      <c r="A796" s="4" t="str">
        <f>"37502022022810224521605"</f>
        <v>37502022022810224521605</v>
      </c>
      <c r="B796" s="4" t="s">
        <v>776</v>
      </c>
      <c r="C796" s="4" t="s">
        <v>800</v>
      </c>
      <c r="D796" s="4" t="str">
        <f>"20220112728"</f>
        <v>20220112728</v>
      </c>
      <c r="E796" s="4" t="str">
        <f t="shared" si="157"/>
        <v>27</v>
      </c>
      <c r="F796" s="4" t="str">
        <f>"28"</f>
        <v>28</v>
      </c>
      <c r="G796" s="5">
        <v>72.25</v>
      </c>
      <c r="H796" s="5" t="s">
        <v>14</v>
      </c>
      <c r="I796" s="5">
        <v>70</v>
      </c>
      <c r="J796" s="5" t="s">
        <v>14</v>
      </c>
      <c r="K796" s="7">
        <v>70.68</v>
      </c>
      <c r="L796" s="8">
        <v>25</v>
      </c>
      <c r="M796" s="9"/>
    </row>
    <row r="797" s="1" customFormat="1" ht="20.1" customHeight="1" spans="1:13">
      <c r="A797" s="4" t="str">
        <f>"37502022030206420124786"</f>
        <v>37502022030206420124786</v>
      </c>
      <c r="B797" s="4" t="s">
        <v>776</v>
      </c>
      <c r="C797" s="4" t="s">
        <v>801</v>
      </c>
      <c r="D797" s="4" t="str">
        <f>"20220112704"</f>
        <v>20220112704</v>
      </c>
      <c r="E797" s="4" t="str">
        <f t="shared" si="157"/>
        <v>27</v>
      </c>
      <c r="F797" s="4" t="str">
        <f>"04"</f>
        <v>04</v>
      </c>
      <c r="G797" s="5">
        <v>59.26</v>
      </c>
      <c r="H797" s="5" t="s">
        <v>14</v>
      </c>
      <c r="I797" s="5">
        <v>75.3</v>
      </c>
      <c r="J797" s="5" t="s">
        <v>14</v>
      </c>
      <c r="K797" s="7">
        <v>70.49</v>
      </c>
      <c r="L797" s="8">
        <v>26</v>
      </c>
      <c r="M797" s="9"/>
    </row>
    <row r="798" s="1" customFormat="1" ht="20.1" customHeight="1" spans="1:13">
      <c r="A798" s="4" t="str">
        <f>"37502022022813423422150"</f>
        <v>37502022022813423422150</v>
      </c>
      <c r="B798" s="4" t="s">
        <v>776</v>
      </c>
      <c r="C798" s="4" t="s">
        <v>802</v>
      </c>
      <c r="D798" s="4" t="str">
        <f>"20220112716"</f>
        <v>20220112716</v>
      </c>
      <c r="E798" s="4" t="str">
        <f t="shared" si="157"/>
        <v>27</v>
      </c>
      <c r="F798" s="4" t="str">
        <f>"16"</f>
        <v>16</v>
      </c>
      <c r="G798" s="5">
        <v>66.57</v>
      </c>
      <c r="H798" s="5" t="s">
        <v>14</v>
      </c>
      <c r="I798" s="5">
        <v>71.4</v>
      </c>
      <c r="J798" s="5" t="s">
        <v>14</v>
      </c>
      <c r="K798" s="7">
        <v>69.95</v>
      </c>
      <c r="L798" s="8">
        <v>27</v>
      </c>
      <c r="M798" s="9"/>
    </row>
    <row r="799" s="1" customFormat="1" ht="20.1" customHeight="1" spans="1:13">
      <c r="A799" s="4" t="str">
        <f>"37502022022608063318616"</f>
        <v>37502022022608063318616</v>
      </c>
      <c r="B799" s="4" t="s">
        <v>776</v>
      </c>
      <c r="C799" s="4" t="s">
        <v>803</v>
      </c>
      <c r="D799" s="4" t="str">
        <f>"20220112713"</f>
        <v>20220112713</v>
      </c>
      <c r="E799" s="4" t="str">
        <f t="shared" si="157"/>
        <v>27</v>
      </c>
      <c r="F799" s="4" t="str">
        <f>"13"</f>
        <v>13</v>
      </c>
      <c r="G799" s="5">
        <v>73.4</v>
      </c>
      <c r="H799" s="5" t="s">
        <v>14</v>
      </c>
      <c r="I799" s="5">
        <v>68</v>
      </c>
      <c r="J799" s="5" t="s">
        <v>14</v>
      </c>
      <c r="K799" s="7">
        <v>69.62</v>
      </c>
      <c r="L799" s="8">
        <v>28</v>
      </c>
      <c r="M799" s="9"/>
    </row>
    <row r="800" s="1" customFormat="1" ht="20.1" customHeight="1" spans="1:13">
      <c r="A800" s="4" t="str">
        <f>"37502022030110002623327"</f>
        <v>37502022030110002623327</v>
      </c>
      <c r="B800" s="4" t="s">
        <v>776</v>
      </c>
      <c r="C800" s="4" t="s">
        <v>804</v>
      </c>
      <c r="D800" s="4" t="str">
        <f>"20220112714"</f>
        <v>20220112714</v>
      </c>
      <c r="E800" s="4" t="str">
        <f t="shared" si="157"/>
        <v>27</v>
      </c>
      <c r="F800" s="4" t="str">
        <f>"14"</f>
        <v>14</v>
      </c>
      <c r="G800" s="5">
        <v>65.44</v>
      </c>
      <c r="H800" s="5" t="s">
        <v>14</v>
      </c>
      <c r="I800" s="5">
        <v>71.1</v>
      </c>
      <c r="J800" s="5" t="s">
        <v>14</v>
      </c>
      <c r="K800" s="7">
        <v>69.4</v>
      </c>
      <c r="L800" s="8">
        <v>29</v>
      </c>
      <c r="M800" s="9"/>
    </row>
    <row r="801" s="1" customFormat="1" ht="20.1" customHeight="1" spans="1:13">
      <c r="A801" s="4" t="str">
        <f>"37502022022809025121377"</f>
        <v>37502022022809025121377</v>
      </c>
      <c r="B801" s="4" t="s">
        <v>776</v>
      </c>
      <c r="C801" s="4" t="s">
        <v>805</v>
      </c>
      <c r="D801" s="4" t="str">
        <f>"20220112701"</f>
        <v>20220112701</v>
      </c>
      <c r="E801" s="4" t="str">
        <f t="shared" si="157"/>
        <v>27</v>
      </c>
      <c r="F801" s="4" t="str">
        <f>"01"</f>
        <v>01</v>
      </c>
      <c r="G801" s="5">
        <v>70.8</v>
      </c>
      <c r="H801" s="5" t="s">
        <v>14</v>
      </c>
      <c r="I801" s="5">
        <v>68.5</v>
      </c>
      <c r="J801" s="5" t="s">
        <v>14</v>
      </c>
      <c r="K801" s="7">
        <v>69.19</v>
      </c>
      <c r="L801" s="8">
        <v>30</v>
      </c>
      <c r="M801" s="9"/>
    </row>
    <row r="802" s="1" customFormat="1" ht="20.1" customHeight="1" spans="1:13">
      <c r="A802" s="4" t="str">
        <f>"37502022022621212019685"</f>
        <v>37502022022621212019685</v>
      </c>
      <c r="B802" s="4" t="s">
        <v>776</v>
      </c>
      <c r="C802" s="4" t="s">
        <v>806</v>
      </c>
      <c r="D802" s="4" t="str">
        <f>"20220112722"</f>
        <v>20220112722</v>
      </c>
      <c r="E802" s="4" t="str">
        <f t="shared" si="157"/>
        <v>27</v>
      </c>
      <c r="F802" s="4" t="str">
        <f>"22"</f>
        <v>22</v>
      </c>
      <c r="G802" s="5">
        <v>73.45</v>
      </c>
      <c r="H802" s="5" t="s">
        <v>14</v>
      </c>
      <c r="I802" s="5">
        <v>66.4</v>
      </c>
      <c r="J802" s="5" t="s">
        <v>14</v>
      </c>
      <c r="K802" s="7">
        <v>68.52</v>
      </c>
      <c r="L802" s="8">
        <v>31</v>
      </c>
      <c r="M802" s="9"/>
    </row>
    <row r="803" s="1" customFormat="1" ht="20.1" customHeight="1" spans="1:13">
      <c r="A803" s="4" t="str">
        <f>"37502022030213531425335"</f>
        <v>37502022030213531425335</v>
      </c>
      <c r="B803" s="4" t="s">
        <v>776</v>
      </c>
      <c r="C803" s="4" t="s">
        <v>807</v>
      </c>
      <c r="D803" s="4" t="str">
        <f>"20220112717"</f>
        <v>20220112717</v>
      </c>
      <c r="E803" s="4" t="str">
        <f t="shared" si="157"/>
        <v>27</v>
      </c>
      <c r="F803" s="4" t="str">
        <f>"17"</f>
        <v>17</v>
      </c>
      <c r="G803" s="5">
        <v>68.75</v>
      </c>
      <c r="H803" s="5" t="s">
        <v>14</v>
      </c>
      <c r="I803" s="5">
        <v>68.3</v>
      </c>
      <c r="J803" s="5" t="s">
        <v>14</v>
      </c>
      <c r="K803" s="7">
        <v>68.44</v>
      </c>
      <c r="L803" s="8">
        <v>32</v>
      </c>
      <c r="M803" s="9"/>
    </row>
    <row r="804" s="1" customFormat="1" ht="20.1" customHeight="1" spans="1:13">
      <c r="A804" s="4" t="str">
        <f>"37502022030117212024124"</f>
        <v>37502022030117212024124</v>
      </c>
      <c r="B804" s="4" t="s">
        <v>776</v>
      </c>
      <c r="C804" s="4" t="s">
        <v>808</v>
      </c>
      <c r="D804" s="4" t="str">
        <f>"20220112702"</f>
        <v>20220112702</v>
      </c>
      <c r="E804" s="4" t="str">
        <f t="shared" si="157"/>
        <v>27</v>
      </c>
      <c r="F804" s="4" t="str">
        <f>"02"</f>
        <v>02</v>
      </c>
      <c r="G804" s="5">
        <v>64.69</v>
      </c>
      <c r="H804" s="5" t="s">
        <v>14</v>
      </c>
      <c r="I804" s="5">
        <v>69.6</v>
      </c>
      <c r="J804" s="5" t="s">
        <v>14</v>
      </c>
      <c r="K804" s="7">
        <v>68.13</v>
      </c>
      <c r="L804" s="8">
        <v>33</v>
      </c>
      <c r="M804" s="9"/>
    </row>
    <row r="805" s="1" customFormat="1" ht="20.1" customHeight="1" spans="1:13">
      <c r="A805" s="4" t="str">
        <f>"37502022030209444924949"</f>
        <v>37502022030209444924949</v>
      </c>
      <c r="B805" s="4" t="s">
        <v>776</v>
      </c>
      <c r="C805" s="4" t="s">
        <v>809</v>
      </c>
      <c r="D805" s="4" t="str">
        <f>"20220112709"</f>
        <v>20220112709</v>
      </c>
      <c r="E805" s="4" t="str">
        <f t="shared" si="157"/>
        <v>27</v>
      </c>
      <c r="F805" s="4" t="str">
        <f>"09"</f>
        <v>09</v>
      </c>
      <c r="G805" s="5">
        <v>58.91</v>
      </c>
      <c r="H805" s="5" t="s">
        <v>14</v>
      </c>
      <c r="I805" s="5">
        <v>70.7</v>
      </c>
      <c r="J805" s="5" t="s">
        <v>14</v>
      </c>
      <c r="K805" s="7">
        <v>67.16</v>
      </c>
      <c r="L805" s="8">
        <v>34</v>
      </c>
      <c r="M805" s="9"/>
    </row>
    <row r="806" s="1" customFormat="1" ht="20.1" customHeight="1" spans="1:13">
      <c r="A806" s="4" t="str">
        <f>"37502022030212015425173"</f>
        <v>37502022030212015425173</v>
      </c>
      <c r="B806" s="4" t="s">
        <v>776</v>
      </c>
      <c r="C806" s="4" t="s">
        <v>810</v>
      </c>
      <c r="D806" s="4" t="str">
        <f>"20220112719"</f>
        <v>20220112719</v>
      </c>
      <c r="E806" s="4" t="str">
        <f t="shared" si="157"/>
        <v>27</v>
      </c>
      <c r="F806" s="4" t="str">
        <f>"19"</f>
        <v>19</v>
      </c>
      <c r="G806" s="5">
        <v>65.96</v>
      </c>
      <c r="H806" s="5" t="s">
        <v>14</v>
      </c>
      <c r="I806" s="5">
        <v>67.2</v>
      </c>
      <c r="J806" s="5" t="s">
        <v>14</v>
      </c>
      <c r="K806" s="7">
        <v>66.83</v>
      </c>
      <c r="L806" s="8">
        <v>35</v>
      </c>
      <c r="M806" s="9"/>
    </row>
    <row r="807" s="1" customFormat="1" ht="20.1" customHeight="1" spans="1:13">
      <c r="A807" s="4" t="str">
        <f>"37502022022813180222081"</f>
        <v>37502022022813180222081</v>
      </c>
      <c r="B807" s="4" t="s">
        <v>776</v>
      </c>
      <c r="C807" s="4" t="s">
        <v>811</v>
      </c>
      <c r="D807" s="4" t="str">
        <f>"20220112721"</f>
        <v>20220112721</v>
      </c>
      <c r="E807" s="4" t="str">
        <f t="shared" si="157"/>
        <v>27</v>
      </c>
      <c r="F807" s="4" t="str">
        <f>"21"</f>
        <v>21</v>
      </c>
      <c r="G807" s="5">
        <v>62.56</v>
      </c>
      <c r="H807" s="5" t="s">
        <v>14</v>
      </c>
      <c r="I807" s="5">
        <v>64.4</v>
      </c>
      <c r="J807" s="5" t="s">
        <v>14</v>
      </c>
      <c r="K807" s="7">
        <v>63.85</v>
      </c>
      <c r="L807" s="8">
        <v>36</v>
      </c>
      <c r="M807" s="9"/>
    </row>
    <row r="808" s="1" customFormat="1" ht="20.1" customHeight="1" spans="1:13">
      <c r="A808" s="4" t="str">
        <f>"37502022022809441321495"</f>
        <v>37502022022809441321495</v>
      </c>
      <c r="B808" s="4" t="s">
        <v>776</v>
      </c>
      <c r="C808" s="4" t="s">
        <v>812</v>
      </c>
      <c r="D808" s="4" t="str">
        <f>"20220112703"</f>
        <v>20220112703</v>
      </c>
      <c r="E808" s="4" t="str">
        <f t="shared" si="157"/>
        <v>27</v>
      </c>
      <c r="F808" s="4" t="str">
        <f>"03"</f>
        <v>03</v>
      </c>
      <c r="G808" s="5">
        <v>53.04</v>
      </c>
      <c r="H808" s="5" t="s">
        <v>14</v>
      </c>
      <c r="I808" s="5">
        <v>67.1</v>
      </c>
      <c r="J808" s="5" t="s">
        <v>14</v>
      </c>
      <c r="K808" s="7">
        <v>62.88</v>
      </c>
      <c r="L808" s="8">
        <v>37</v>
      </c>
      <c r="M808" s="9"/>
    </row>
    <row r="809" s="1" customFormat="1" ht="20.1" customHeight="1" spans="1:13">
      <c r="A809" s="4" t="str">
        <f>"37502022022614032019198"</f>
        <v>37502022022614032019198</v>
      </c>
      <c r="B809" s="4" t="s">
        <v>776</v>
      </c>
      <c r="C809" s="4" t="s">
        <v>813</v>
      </c>
      <c r="D809" s="4" t="str">
        <f>"20220112711"</f>
        <v>20220112711</v>
      </c>
      <c r="E809" s="4" t="str">
        <f t="shared" si="157"/>
        <v>27</v>
      </c>
      <c r="F809" s="4" t="str">
        <f>"11"</f>
        <v>11</v>
      </c>
      <c r="G809" s="5">
        <v>0</v>
      </c>
      <c r="H809" s="5" t="s">
        <v>74</v>
      </c>
      <c r="I809" s="5">
        <v>0</v>
      </c>
      <c r="J809" s="5" t="s">
        <v>74</v>
      </c>
      <c r="K809" s="7">
        <v>0</v>
      </c>
      <c r="L809" s="8">
        <v>38</v>
      </c>
      <c r="M809" s="9"/>
    </row>
    <row r="810" s="1" customFormat="1" ht="20.1" customHeight="1" spans="1:13">
      <c r="A810" s="4" t="str">
        <f>"37502022022716153720421"</f>
        <v>37502022022716153720421</v>
      </c>
      <c r="B810" s="4" t="s">
        <v>776</v>
      </c>
      <c r="C810" s="4" t="s">
        <v>814</v>
      </c>
      <c r="D810" s="4" t="str">
        <f>"20220112627"</f>
        <v>20220112627</v>
      </c>
      <c r="E810" s="4" t="str">
        <f>"26"</f>
        <v>26</v>
      </c>
      <c r="F810" s="4" t="str">
        <f>"27"</f>
        <v>27</v>
      </c>
      <c r="G810" s="5">
        <v>0</v>
      </c>
      <c r="H810" s="5" t="s">
        <v>74</v>
      </c>
      <c r="I810" s="5">
        <v>0</v>
      </c>
      <c r="J810" s="5" t="s">
        <v>74</v>
      </c>
      <c r="K810" s="7">
        <v>0</v>
      </c>
      <c r="L810" s="8">
        <v>38</v>
      </c>
      <c r="M810" s="9"/>
    </row>
    <row r="811" s="1" customFormat="1" ht="20.1" customHeight="1" spans="1:13">
      <c r="A811" s="4" t="str">
        <f>"37502022022717250320520"</f>
        <v>37502022022717250320520</v>
      </c>
      <c r="B811" s="4" t="s">
        <v>776</v>
      </c>
      <c r="C811" s="4" t="s">
        <v>815</v>
      </c>
      <c r="D811" s="4" t="str">
        <f>"20220112805"</f>
        <v>20220112805</v>
      </c>
      <c r="E811" s="4" t="str">
        <f>"28"</f>
        <v>28</v>
      </c>
      <c r="F811" s="4" t="str">
        <f>"05"</f>
        <v>05</v>
      </c>
      <c r="G811" s="5">
        <v>0</v>
      </c>
      <c r="H811" s="5" t="s">
        <v>74</v>
      </c>
      <c r="I811" s="5">
        <v>0</v>
      </c>
      <c r="J811" s="5" t="s">
        <v>74</v>
      </c>
      <c r="K811" s="7">
        <v>0</v>
      </c>
      <c r="L811" s="8">
        <v>38</v>
      </c>
      <c r="M811" s="9"/>
    </row>
    <row r="812" s="1" customFormat="1" ht="20.1" customHeight="1" spans="1:13">
      <c r="A812" s="4" t="str">
        <f>"37502022022721535920990"</f>
        <v>37502022022721535920990</v>
      </c>
      <c r="B812" s="4" t="s">
        <v>776</v>
      </c>
      <c r="C812" s="4" t="s">
        <v>816</v>
      </c>
      <c r="D812" s="4" t="str">
        <f>"20220112706"</f>
        <v>20220112706</v>
      </c>
      <c r="E812" s="4" t="str">
        <f t="shared" ref="E812:E814" si="158">"27"</f>
        <v>27</v>
      </c>
      <c r="F812" s="4" t="str">
        <f>"06"</f>
        <v>06</v>
      </c>
      <c r="G812" s="5">
        <v>0</v>
      </c>
      <c r="H812" s="5" t="s">
        <v>74</v>
      </c>
      <c r="I812" s="5">
        <v>0</v>
      </c>
      <c r="J812" s="5" t="s">
        <v>74</v>
      </c>
      <c r="K812" s="7">
        <v>0</v>
      </c>
      <c r="L812" s="8">
        <v>38</v>
      </c>
      <c r="M812" s="9"/>
    </row>
    <row r="813" s="1" customFormat="1" ht="20.1" customHeight="1" spans="1:13">
      <c r="A813" s="4" t="str">
        <f>"37502022030108302723127"</f>
        <v>37502022030108302723127</v>
      </c>
      <c r="B813" s="4" t="s">
        <v>776</v>
      </c>
      <c r="C813" s="4" t="s">
        <v>817</v>
      </c>
      <c r="D813" s="4" t="str">
        <f>"20220112708"</f>
        <v>20220112708</v>
      </c>
      <c r="E813" s="4" t="str">
        <f t="shared" si="158"/>
        <v>27</v>
      </c>
      <c r="F813" s="4" t="str">
        <f>"08"</f>
        <v>08</v>
      </c>
      <c r="G813" s="5">
        <v>0</v>
      </c>
      <c r="H813" s="5" t="s">
        <v>74</v>
      </c>
      <c r="I813" s="5">
        <v>0</v>
      </c>
      <c r="J813" s="5" t="s">
        <v>74</v>
      </c>
      <c r="K813" s="7">
        <v>0</v>
      </c>
      <c r="L813" s="8">
        <v>38</v>
      </c>
      <c r="M813" s="9"/>
    </row>
    <row r="814" s="1" customFormat="1" ht="20.1" customHeight="1" spans="1:13">
      <c r="A814" s="4" t="str">
        <f>"37502022030110214623381"</f>
        <v>37502022030110214623381</v>
      </c>
      <c r="B814" s="4" t="s">
        <v>776</v>
      </c>
      <c r="C814" s="4" t="s">
        <v>818</v>
      </c>
      <c r="D814" s="4" t="str">
        <f>"20220112705"</f>
        <v>20220112705</v>
      </c>
      <c r="E814" s="4" t="str">
        <f t="shared" si="158"/>
        <v>27</v>
      </c>
      <c r="F814" s="4" t="str">
        <f>"05"</f>
        <v>05</v>
      </c>
      <c r="G814" s="5">
        <v>0</v>
      </c>
      <c r="H814" s="5" t="s">
        <v>74</v>
      </c>
      <c r="I814" s="5">
        <v>0</v>
      </c>
      <c r="J814" s="5" t="s">
        <v>74</v>
      </c>
      <c r="K814" s="7">
        <v>0</v>
      </c>
      <c r="L814" s="8">
        <v>38</v>
      </c>
      <c r="M814" s="9"/>
    </row>
    <row r="815" s="1" customFormat="1" ht="20.1" customHeight="1" spans="1:13">
      <c r="A815" s="4" t="str">
        <f>"37502022030111202523519"</f>
        <v>37502022030111202523519</v>
      </c>
      <c r="B815" s="4" t="s">
        <v>776</v>
      </c>
      <c r="C815" s="4" t="s">
        <v>819</v>
      </c>
      <c r="D815" s="4" t="str">
        <f>"20220112808"</f>
        <v>20220112808</v>
      </c>
      <c r="E815" s="4" t="str">
        <f t="shared" ref="E815:E822" si="159">"28"</f>
        <v>28</v>
      </c>
      <c r="F815" s="4" t="str">
        <f>"08"</f>
        <v>08</v>
      </c>
      <c r="G815" s="5">
        <v>0</v>
      </c>
      <c r="H815" s="5" t="s">
        <v>74</v>
      </c>
      <c r="I815" s="5">
        <v>0</v>
      </c>
      <c r="J815" s="5" t="s">
        <v>74</v>
      </c>
      <c r="K815" s="7">
        <v>0</v>
      </c>
      <c r="L815" s="8">
        <v>38</v>
      </c>
      <c r="M815" s="9"/>
    </row>
    <row r="816" s="1" customFormat="1" ht="20.1" customHeight="1" spans="1:13">
      <c r="A816" s="4" t="str">
        <f>"37502022030114482623856"</f>
        <v>37502022030114482623856</v>
      </c>
      <c r="B816" s="4" t="s">
        <v>776</v>
      </c>
      <c r="C816" s="4" t="s">
        <v>820</v>
      </c>
      <c r="D816" s="4" t="str">
        <f>"20220112624"</f>
        <v>20220112624</v>
      </c>
      <c r="E816" s="4" t="str">
        <f>"26"</f>
        <v>26</v>
      </c>
      <c r="F816" s="4" t="str">
        <f>"24"</f>
        <v>24</v>
      </c>
      <c r="G816" s="5">
        <v>0</v>
      </c>
      <c r="H816" s="5" t="s">
        <v>74</v>
      </c>
      <c r="I816" s="5">
        <v>0</v>
      </c>
      <c r="J816" s="5" t="s">
        <v>74</v>
      </c>
      <c r="K816" s="7">
        <v>0</v>
      </c>
      <c r="L816" s="8">
        <v>38</v>
      </c>
      <c r="M816" s="9"/>
    </row>
    <row r="817" s="1" customFormat="1" ht="20.1" customHeight="1" spans="1:13">
      <c r="A817" s="4" t="str">
        <f>"37502022030115035823877"</f>
        <v>37502022030115035823877</v>
      </c>
      <c r="B817" s="4" t="s">
        <v>776</v>
      </c>
      <c r="C817" s="4" t="s">
        <v>821</v>
      </c>
      <c r="D817" s="4" t="str">
        <f>"20220112710"</f>
        <v>20220112710</v>
      </c>
      <c r="E817" s="4" t="str">
        <f>"27"</f>
        <v>27</v>
      </c>
      <c r="F817" s="4" t="str">
        <f>"10"</f>
        <v>10</v>
      </c>
      <c r="G817" s="5">
        <v>0</v>
      </c>
      <c r="H817" s="5" t="s">
        <v>74</v>
      </c>
      <c r="I817" s="5">
        <v>0</v>
      </c>
      <c r="J817" s="5" t="s">
        <v>74</v>
      </c>
      <c r="K817" s="7">
        <v>0</v>
      </c>
      <c r="L817" s="8">
        <v>38</v>
      </c>
      <c r="M817" s="9"/>
    </row>
    <row r="818" s="1" customFormat="1" ht="20.1" customHeight="1" spans="1:13">
      <c r="A818" s="4" t="str">
        <f>"37502022030118163624208"</f>
        <v>37502022030118163624208</v>
      </c>
      <c r="B818" s="4" t="s">
        <v>776</v>
      </c>
      <c r="C818" s="4" t="s">
        <v>822</v>
      </c>
      <c r="D818" s="4" t="str">
        <f>"20220112730"</f>
        <v>20220112730</v>
      </c>
      <c r="E818" s="4" t="str">
        <f>"27"</f>
        <v>27</v>
      </c>
      <c r="F818" s="4" t="str">
        <f>"30"</f>
        <v>30</v>
      </c>
      <c r="G818" s="5">
        <v>0</v>
      </c>
      <c r="H818" s="5" t="s">
        <v>74</v>
      </c>
      <c r="I818" s="5">
        <v>0</v>
      </c>
      <c r="J818" s="5" t="s">
        <v>74</v>
      </c>
      <c r="K818" s="7">
        <v>0</v>
      </c>
      <c r="L818" s="8">
        <v>38</v>
      </c>
      <c r="M818" s="9"/>
    </row>
    <row r="819" s="1" customFormat="1" ht="20.1" customHeight="1" spans="1:13">
      <c r="A819" s="4" t="str">
        <f>"37502022030118553524285"</f>
        <v>37502022030118553524285</v>
      </c>
      <c r="B819" s="4" t="s">
        <v>776</v>
      </c>
      <c r="C819" s="4" t="s">
        <v>823</v>
      </c>
      <c r="D819" s="4" t="str">
        <f>"20220112801"</f>
        <v>20220112801</v>
      </c>
      <c r="E819" s="4" t="str">
        <f t="shared" si="159"/>
        <v>28</v>
      </c>
      <c r="F819" s="4" t="str">
        <f>"01"</f>
        <v>01</v>
      </c>
      <c r="G819" s="5">
        <v>0</v>
      </c>
      <c r="H819" s="5" t="s">
        <v>74</v>
      </c>
      <c r="I819" s="5">
        <v>0</v>
      </c>
      <c r="J819" s="5" t="s">
        <v>74</v>
      </c>
      <c r="K819" s="7">
        <v>0</v>
      </c>
      <c r="L819" s="8">
        <v>38</v>
      </c>
      <c r="M819" s="9"/>
    </row>
    <row r="820" s="1" customFormat="1" ht="20.1" customHeight="1" spans="1:13">
      <c r="A820" s="4" t="str">
        <f>"37502022030207045024790"</f>
        <v>37502022030207045024790</v>
      </c>
      <c r="B820" s="4" t="s">
        <v>776</v>
      </c>
      <c r="C820" s="4" t="s">
        <v>824</v>
      </c>
      <c r="D820" s="4" t="str">
        <f>"20220112803"</f>
        <v>20220112803</v>
      </c>
      <c r="E820" s="4" t="str">
        <f t="shared" si="159"/>
        <v>28</v>
      </c>
      <c r="F820" s="4" t="str">
        <f>"03"</f>
        <v>03</v>
      </c>
      <c r="G820" s="5">
        <v>0</v>
      </c>
      <c r="H820" s="5" t="s">
        <v>74</v>
      </c>
      <c r="I820" s="5">
        <v>0</v>
      </c>
      <c r="J820" s="5" t="s">
        <v>74</v>
      </c>
      <c r="K820" s="7">
        <v>0</v>
      </c>
      <c r="L820" s="8">
        <v>38</v>
      </c>
      <c r="M820" s="9"/>
    </row>
    <row r="821" s="1" customFormat="1" ht="20.1" customHeight="1" spans="1:13">
      <c r="A821" s="4" t="str">
        <f>"37502022030215373225488"</f>
        <v>37502022030215373225488</v>
      </c>
      <c r="B821" s="4" t="s">
        <v>776</v>
      </c>
      <c r="C821" s="4" t="s">
        <v>825</v>
      </c>
      <c r="D821" s="4" t="str">
        <f>"20220112806"</f>
        <v>20220112806</v>
      </c>
      <c r="E821" s="4" t="str">
        <f t="shared" si="159"/>
        <v>28</v>
      </c>
      <c r="F821" s="4" t="str">
        <f>"06"</f>
        <v>06</v>
      </c>
      <c r="G821" s="5">
        <v>0</v>
      </c>
      <c r="H821" s="5" t="s">
        <v>74</v>
      </c>
      <c r="I821" s="5">
        <v>0</v>
      </c>
      <c r="J821" s="5" t="s">
        <v>74</v>
      </c>
      <c r="K821" s="7">
        <v>0</v>
      </c>
      <c r="L821" s="8">
        <v>38</v>
      </c>
      <c r="M821" s="9"/>
    </row>
    <row r="822" s="1" customFormat="1" ht="20.1" customHeight="1" spans="1:13">
      <c r="A822" s="4" t="str">
        <f>"37502022030216165525521"</f>
        <v>37502022030216165525521</v>
      </c>
      <c r="B822" s="4" t="s">
        <v>776</v>
      </c>
      <c r="C822" s="4" t="s">
        <v>826</v>
      </c>
      <c r="D822" s="4" t="str">
        <f>"20220112807"</f>
        <v>20220112807</v>
      </c>
      <c r="E822" s="4" t="str">
        <f t="shared" si="159"/>
        <v>28</v>
      </c>
      <c r="F822" s="4" t="str">
        <f>"07"</f>
        <v>07</v>
      </c>
      <c r="G822" s="5">
        <v>0</v>
      </c>
      <c r="H822" s="5" t="s">
        <v>74</v>
      </c>
      <c r="I822" s="5">
        <v>0</v>
      </c>
      <c r="J822" s="5" t="s">
        <v>74</v>
      </c>
      <c r="K822" s="7">
        <v>0</v>
      </c>
      <c r="L822" s="8">
        <v>38</v>
      </c>
      <c r="M822" s="9"/>
    </row>
    <row r="823" s="1" customFormat="1" ht="20.1" customHeight="1" spans="1:13">
      <c r="A823" s="4" t="str">
        <f>"37502022030118411324254"</f>
        <v>37502022030118411324254</v>
      </c>
      <c r="B823" s="4" t="s">
        <v>827</v>
      </c>
      <c r="C823" s="4" t="s">
        <v>828</v>
      </c>
      <c r="D823" s="4" t="str">
        <f>"20220122914"</f>
        <v>20220122914</v>
      </c>
      <c r="E823" s="4" t="str">
        <f t="shared" ref="E823:E833" si="160">"29"</f>
        <v>29</v>
      </c>
      <c r="F823" s="4" t="str">
        <f>"14"</f>
        <v>14</v>
      </c>
      <c r="G823" s="5">
        <v>81.15</v>
      </c>
      <c r="H823" s="5" t="s">
        <v>14</v>
      </c>
      <c r="I823" s="5">
        <v>89.7</v>
      </c>
      <c r="J823" s="5" t="s">
        <v>14</v>
      </c>
      <c r="K823" s="7">
        <v>87.14</v>
      </c>
      <c r="L823" s="8">
        <v>1</v>
      </c>
      <c r="M823" s="9"/>
    </row>
    <row r="824" s="1" customFormat="1" ht="20.1" customHeight="1" spans="1:13">
      <c r="A824" s="4" t="str">
        <f>"37502022030110541023455"</f>
        <v>37502022030110541023455</v>
      </c>
      <c r="B824" s="4" t="s">
        <v>827</v>
      </c>
      <c r="C824" s="4" t="s">
        <v>829</v>
      </c>
      <c r="D824" s="4" t="str">
        <f>"20220122902"</f>
        <v>20220122902</v>
      </c>
      <c r="E824" s="4" t="str">
        <f t="shared" si="160"/>
        <v>29</v>
      </c>
      <c r="F824" s="4" t="str">
        <f>"02"</f>
        <v>02</v>
      </c>
      <c r="G824" s="5">
        <v>78.53</v>
      </c>
      <c r="H824" s="5" t="s">
        <v>14</v>
      </c>
      <c r="I824" s="5">
        <v>81.9</v>
      </c>
      <c r="J824" s="5" t="s">
        <v>14</v>
      </c>
      <c r="K824" s="7">
        <v>80.89</v>
      </c>
      <c r="L824" s="8">
        <v>2</v>
      </c>
      <c r="M824" s="9"/>
    </row>
    <row r="825" s="1" customFormat="1" ht="20.1" customHeight="1" spans="1:13">
      <c r="A825" s="4" t="str">
        <f>"37502022030109535223307"</f>
        <v>37502022030109535223307</v>
      </c>
      <c r="B825" s="4" t="s">
        <v>827</v>
      </c>
      <c r="C825" s="4" t="s">
        <v>830</v>
      </c>
      <c r="D825" s="4" t="str">
        <f>"20220122826"</f>
        <v>20220122826</v>
      </c>
      <c r="E825" s="4" t="str">
        <f>"28"</f>
        <v>28</v>
      </c>
      <c r="F825" s="4" t="str">
        <f>"26"</f>
        <v>26</v>
      </c>
      <c r="G825" s="5">
        <v>79.23</v>
      </c>
      <c r="H825" s="5" t="s">
        <v>14</v>
      </c>
      <c r="I825" s="5">
        <v>80.2</v>
      </c>
      <c r="J825" s="5" t="s">
        <v>14</v>
      </c>
      <c r="K825" s="7">
        <v>79.91</v>
      </c>
      <c r="L825" s="8">
        <v>3</v>
      </c>
      <c r="M825" s="9"/>
    </row>
    <row r="826" s="1" customFormat="1" ht="20.1" customHeight="1" spans="1:13">
      <c r="A826" s="4" t="str">
        <f>"37502022030111064023491"</f>
        <v>37502022030111064023491</v>
      </c>
      <c r="B826" s="4" t="s">
        <v>827</v>
      </c>
      <c r="C826" s="4" t="s">
        <v>831</v>
      </c>
      <c r="D826" s="4" t="str">
        <f>"20220122911"</f>
        <v>20220122911</v>
      </c>
      <c r="E826" s="4" t="str">
        <f t="shared" si="160"/>
        <v>29</v>
      </c>
      <c r="F826" s="4" t="str">
        <f>"11"</f>
        <v>11</v>
      </c>
      <c r="G826" s="5">
        <v>73.37</v>
      </c>
      <c r="H826" s="5" t="s">
        <v>14</v>
      </c>
      <c r="I826" s="5">
        <v>82</v>
      </c>
      <c r="J826" s="5" t="s">
        <v>14</v>
      </c>
      <c r="K826" s="7">
        <v>79.41</v>
      </c>
      <c r="L826" s="8">
        <v>4</v>
      </c>
      <c r="M826" s="9"/>
    </row>
    <row r="827" s="1" customFormat="1" ht="20.1" customHeight="1" spans="1:13">
      <c r="A827" s="4" t="str">
        <f>"37502022022823261423080"</f>
        <v>37502022022823261423080</v>
      </c>
      <c r="B827" s="4" t="s">
        <v>827</v>
      </c>
      <c r="C827" s="4" t="s">
        <v>832</v>
      </c>
      <c r="D827" s="4" t="str">
        <f>"20220122923"</f>
        <v>20220122923</v>
      </c>
      <c r="E827" s="4" t="str">
        <f t="shared" si="160"/>
        <v>29</v>
      </c>
      <c r="F827" s="4" t="str">
        <f>"23"</f>
        <v>23</v>
      </c>
      <c r="G827" s="5">
        <v>71.52</v>
      </c>
      <c r="H827" s="5" t="s">
        <v>14</v>
      </c>
      <c r="I827" s="5">
        <v>81.8</v>
      </c>
      <c r="J827" s="5" t="s">
        <v>14</v>
      </c>
      <c r="K827" s="7">
        <v>78.72</v>
      </c>
      <c r="L827" s="8">
        <v>5</v>
      </c>
      <c r="M827" s="9"/>
    </row>
    <row r="828" s="1" customFormat="1" ht="20.1" customHeight="1" spans="1:13">
      <c r="A828" s="4" t="str">
        <f>"37502022022616072119359"</f>
        <v>37502022022616072119359</v>
      </c>
      <c r="B828" s="4" t="s">
        <v>827</v>
      </c>
      <c r="C828" s="4" t="s">
        <v>833</v>
      </c>
      <c r="D828" s="4" t="str">
        <f>"20220122922"</f>
        <v>20220122922</v>
      </c>
      <c r="E828" s="4" t="str">
        <f t="shared" si="160"/>
        <v>29</v>
      </c>
      <c r="F828" s="4" t="str">
        <f>"22"</f>
        <v>22</v>
      </c>
      <c r="G828" s="5">
        <v>81.67</v>
      </c>
      <c r="H828" s="5" t="s">
        <v>14</v>
      </c>
      <c r="I828" s="5">
        <v>77</v>
      </c>
      <c r="J828" s="5" t="s">
        <v>14</v>
      </c>
      <c r="K828" s="7">
        <v>78.4</v>
      </c>
      <c r="L828" s="8">
        <v>6</v>
      </c>
      <c r="M828" s="9"/>
    </row>
    <row r="829" s="1" customFormat="1" ht="20.1" customHeight="1" spans="1:13">
      <c r="A829" s="4" t="str">
        <f>"37502022030213181425288"</f>
        <v>37502022030213181425288</v>
      </c>
      <c r="B829" s="4" t="s">
        <v>827</v>
      </c>
      <c r="C829" s="4" t="s">
        <v>834</v>
      </c>
      <c r="D829" s="4" t="str">
        <f>"20220122913"</f>
        <v>20220122913</v>
      </c>
      <c r="E829" s="4" t="str">
        <f t="shared" si="160"/>
        <v>29</v>
      </c>
      <c r="F829" s="4" t="str">
        <f>"13"</f>
        <v>13</v>
      </c>
      <c r="G829" s="5">
        <v>71.48</v>
      </c>
      <c r="H829" s="5" t="s">
        <v>14</v>
      </c>
      <c r="I829" s="5">
        <v>81.1</v>
      </c>
      <c r="J829" s="5" t="s">
        <v>14</v>
      </c>
      <c r="K829" s="7">
        <v>78.21</v>
      </c>
      <c r="L829" s="8">
        <v>7</v>
      </c>
      <c r="M829" s="9"/>
    </row>
    <row r="830" s="1" customFormat="1" ht="20.1" customHeight="1" spans="1:13">
      <c r="A830" s="4" t="str">
        <f>"37502022030111020823479"</f>
        <v>37502022030111020823479</v>
      </c>
      <c r="B830" s="4" t="s">
        <v>827</v>
      </c>
      <c r="C830" s="4" t="s">
        <v>55</v>
      </c>
      <c r="D830" s="4" t="str">
        <f>"20220122927"</f>
        <v>20220122927</v>
      </c>
      <c r="E830" s="4" t="str">
        <f t="shared" si="160"/>
        <v>29</v>
      </c>
      <c r="F830" s="4" t="str">
        <f>"27"</f>
        <v>27</v>
      </c>
      <c r="G830" s="5">
        <v>70.65</v>
      </c>
      <c r="H830" s="5" t="s">
        <v>14</v>
      </c>
      <c r="I830" s="5">
        <v>79.3</v>
      </c>
      <c r="J830" s="5" t="s">
        <v>14</v>
      </c>
      <c r="K830" s="7">
        <v>76.71</v>
      </c>
      <c r="L830" s="8">
        <v>8</v>
      </c>
      <c r="M830" s="9"/>
    </row>
    <row r="831" s="1" customFormat="1" ht="20.1" customHeight="1" spans="1:13">
      <c r="A831" s="4" t="str">
        <f>"37502022030213422925326"</f>
        <v>37502022030213422925326</v>
      </c>
      <c r="B831" s="4" t="s">
        <v>827</v>
      </c>
      <c r="C831" s="4" t="s">
        <v>835</v>
      </c>
      <c r="D831" s="4" t="str">
        <f>"20220122906"</f>
        <v>20220122906</v>
      </c>
      <c r="E831" s="4" t="str">
        <f t="shared" si="160"/>
        <v>29</v>
      </c>
      <c r="F831" s="4" t="str">
        <f>"06"</f>
        <v>06</v>
      </c>
      <c r="G831" s="5">
        <v>73.38</v>
      </c>
      <c r="H831" s="5" t="s">
        <v>14</v>
      </c>
      <c r="I831" s="5">
        <v>77.7</v>
      </c>
      <c r="J831" s="5" t="s">
        <v>14</v>
      </c>
      <c r="K831" s="7">
        <v>76.4</v>
      </c>
      <c r="L831" s="8">
        <v>9</v>
      </c>
      <c r="M831" s="9"/>
    </row>
    <row r="832" s="1" customFormat="1" ht="20.1" customHeight="1" spans="1:13">
      <c r="A832" s="4" t="str">
        <f>"37502022030118545724283"</f>
        <v>37502022030118545724283</v>
      </c>
      <c r="B832" s="4" t="s">
        <v>827</v>
      </c>
      <c r="C832" s="4" t="s">
        <v>409</v>
      </c>
      <c r="D832" s="4" t="str">
        <f>"20220122928"</f>
        <v>20220122928</v>
      </c>
      <c r="E832" s="4" t="str">
        <f t="shared" si="160"/>
        <v>29</v>
      </c>
      <c r="F832" s="4" t="str">
        <f>"28"</f>
        <v>28</v>
      </c>
      <c r="G832" s="5">
        <v>74.9</v>
      </c>
      <c r="H832" s="5" t="s">
        <v>14</v>
      </c>
      <c r="I832" s="5">
        <v>76.1</v>
      </c>
      <c r="J832" s="5" t="s">
        <v>14</v>
      </c>
      <c r="K832" s="7">
        <v>75.74</v>
      </c>
      <c r="L832" s="8">
        <v>10</v>
      </c>
      <c r="M832" s="9"/>
    </row>
    <row r="833" s="1" customFormat="1" ht="20.1" customHeight="1" spans="1:13">
      <c r="A833" s="4" t="str">
        <f>"37502022022608361418644"</f>
        <v>37502022022608361418644</v>
      </c>
      <c r="B833" s="4" t="s">
        <v>827</v>
      </c>
      <c r="C833" s="4" t="s">
        <v>836</v>
      </c>
      <c r="D833" s="4" t="str">
        <f>"20220122924"</f>
        <v>20220122924</v>
      </c>
      <c r="E833" s="4" t="str">
        <f t="shared" si="160"/>
        <v>29</v>
      </c>
      <c r="F833" s="4" t="str">
        <f>"24"</f>
        <v>24</v>
      </c>
      <c r="G833" s="5">
        <v>70.05</v>
      </c>
      <c r="H833" s="5" t="s">
        <v>14</v>
      </c>
      <c r="I833" s="5">
        <v>78</v>
      </c>
      <c r="J833" s="5" t="s">
        <v>14</v>
      </c>
      <c r="K833" s="7">
        <v>75.62</v>
      </c>
      <c r="L833" s="8">
        <v>11</v>
      </c>
      <c r="M833" s="9"/>
    </row>
    <row r="834" s="1" customFormat="1" ht="20.1" customHeight="1" spans="1:13">
      <c r="A834" s="4" t="str">
        <f>"37502022030107353323104"</f>
        <v>37502022030107353323104</v>
      </c>
      <c r="B834" s="4" t="s">
        <v>827</v>
      </c>
      <c r="C834" s="4" t="s">
        <v>837</v>
      </c>
      <c r="D834" s="4" t="str">
        <f>"20220122822"</f>
        <v>20220122822</v>
      </c>
      <c r="E834" s="4" t="str">
        <f t="shared" ref="E834:E836" si="161">"28"</f>
        <v>28</v>
      </c>
      <c r="F834" s="4" t="str">
        <f>"22"</f>
        <v>22</v>
      </c>
      <c r="G834" s="5">
        <v>75.97</v>
      </c>
      <c r="H834" s="5" t="s">
        <v>14</v>
      </c>
      <c r="I834" s="5">
        <v>74.7</v>
      </c>
      <c r="J834" s="5" t="s">
        <v>14</v>
      </c>
      <c r="K834" s="7">
        <v>75.08</v>
      </c>
      <c r="L834" s="8">
        <v>12</v>
      </c>
      <c r="M834" s="9"/>
    </row>
    <row r="835" s="1" customFormat="1" ht="20.1" customHeight="1" spans="1:13">
      <c r="A835" s="4" t="str">
        <f>"37502022030119441824388"</f>
        <v>37502022030119441824388</v>
      </c>
      <c r="B835" s="4" t="s">
        <v>827</v>
      </c>
      <c r="C835" s="4" t="s">
        <v>838</v>
      </c>
      <c r="D835" s="4" t="str">
        <f>"20220122823"</f>
        <v>20220122823</v>
      </c>
      <c r="E835" s="4" t="str">
        <f t="shared" si="161"/>
        <v>28</v>
      </c>
      <c r="F835" s="4" t="str">
        <f>"23"</f>
        <v>23</v>
      </c>
      <c r="G835" s="5">
        <v>75.8</v>
      </c>
      <c r="H835" s="5" t="s">
        <v>14</v>
      </c>
      <c r="I835" s="5">
        <v>74.5</v>
      </c>
      <c r="J835" s="5" t="s">
        <v>14</v>
      </c>
      <c r="K835" s="7">
        <v>74.89</v>
      </c>
      <c r="L835" s="8">
        <v>13</v>
      </c>
      <c r="M835" s="9"/>
    </row>
    <row r="836" s="1" customFormat="1" ht="20.1" customHeight="1" spans="1:13">
      <c r="A836" s="4" t="str">
        <f>"37502022030215032525442"</f>
        <v>37502022030215032525442</v>
      </c>
      <c r="B836" s="4" t="s">
        <v>827</v>
      </c>
      <c r="C836" s="4" t="s">
        <v>839</v>
      </c>
      <c r="D836" s="4" t="str">
        <f>"20220122819"</f>
        <v>20220122819</v>
      </c>
      <c r="E836" s="4" t="str">
        <f t="shared" si="161"/>
        <v>28</v>
      </c>
      <c r="F836" s="4" t="str">
        <f>"19"</f>
        <v>19</v>
      </c>
      <c r="G836" s="5">
        <v>73.26</v>
      </c>
      <c r="H836" s="5" t="s">
        <v>14</v>
      </c>
      <c r="I836" s="5">
        <v>74.3</v>
      </c>
      <c r="J836" s="5" t="s">
        <v>14</v>
      </c>
      <c r="K836" s="7">
        <v>73.99</v>
      </c>
      <c r="L836" s="8">
        <v>14</v>
      </c>
      <c r="M836" s="9"/>
    </row>
    <row r="837" s="1" customFormat="1" ht="20.1" customHeight="1" spans="1:13">
      <c r="A837" s="4" t="str">
        <f>"37502022030120570824527"</f>
        <v>37502022030120570824527</v>
      </c>
      <c r="B837" s="4" t="s">
        <v>827</v>
      </c>
      <c r="C837" s="4" t="s">
        <v>840</v>
      </c>
      <c r="D837" s="4" t="str">
        <f>"20220122910"</f>
        <v>20220122910</v>
      </c>
      <c r="E837" s="4" t="str">
        <f t="shared" ref="E837:E840" si="162">"29"</f>
        <v>29</v>
      </c>
      <c r="F837" s="4" t="str">
        <f>"10"</f>
        <v>10</v>
      </c>
      <c r="G837" s="5">
        <v>76.43</v>
      </c>
      <c r="H837" s="5" t="s">
        <v>14</v>
      </c>
      <c r="I837" s="5">
        <v>72.7</v>
      </c>
      <c r="J837" s="5" t="s">
        <v>14</v>
      </c>
      <c r="K837" s="7">
        <v>73.82</v>
      </c>
      <c r="L837" s="8">
        <v>15</v>
      </c>
      <c r="M837" s="9"/>
    </row>
    <row r="838" s="1" customFormat="1" ht="20.1" customHeight="1" spans="1:13">
      <c r="A838" s="4" t="str">
        <f>"37502022030119403924382"</f>
        <v>37502022030119403924382</v>
      </c>
      <c r="B838" s="4" t="s">
        <v>827</v>
      </c>
      <c r="C838" s="4" t="s">
        <v>841</v>
      </c>
      <c r="D838" s="4" t="str">
        <f>"20220122901"</f>
        <v>20220122901</v>
      </c>
      <c r="E838" s="4" t="str">
        <f t="shared" si="162"/>
        <v>29</v>
      </c>
      <c r="F838" s="4" t="str">
        <f>"01"</f>
        <v>01</v>
      </c>
      <c r="G838" s="5">
        <v>79.79</v>
      </c>
      <c r="H838" s="5" t="s">
        <v>14</v>
      </c>
      <c r="I838" s="5">
        <v>70.1</v>
      </c>
      <c r="J838" s="5" t="s">
        <v>14</v>
      </c>
      <c r="K838" s="7">
        <v>73.01</v>
      </c>
      <c r="L838" s="8">
        <v>16</v>
      </c>
      <c r="M838" s="9"/>
    </row>
    <row r="839" s="1" customFormat="1" ht="20.1" customHeight="1" spans="1:13">
      <c r="A839" s="4" t="str">
        <f>"37502022022609464918790"</f>
        <v>37502022022609464918790</v>
      </c>
      <c r="B839" s="4" t="s">
        <v>827</v>
      </c>
      <c r="C839" s="4" t="s">
        <v>842</v>
      </c>
      <c r="D839" s="4" t="str">
        <f>"20220122903"</f>
        <v>20220122903</v>
      </c>
      <c r="E839" s="4" t="str">
        <f t="shared" si="162"/>
        <v>29</v>
      </c>
      <c r="F839" s="4" t="str">
        <f>"03"</f>
        <v>03</v>
      </c>
      <c r="G839" s="5">
        <v>68.6</v>
      </c>
      <c r="H839" s="5" t="s">
        <v>14</v>
      </c>
      <c r="I839" s="5">
        <v>73.9</v>
      </c>
      <c r="J839" s="5" t="s">
        <v>14</v>
      </c>
      <c r="K839" s="7">
        <v>72.31</v>
      </c>
      <c r="L839" s="8">
        <v>17</v>
      </c>
      <c r="M839" s="9"/>
    </row>
    <row r="840" s="1" customFormat="1" ht="20.1" customHeight="1" spans="1:13">
      <c r="A840" s="4" t="str">
        <f>"37502022022808420421347"</f>
        <v>37502022022808420421347</v>
      </c>
      <c r="B840" s="4" t="s">
        <v>827</v>
      </c>
      <c r="C840" s="4" t="s">
        <v>843</v>
      </c>
      <c r="D840" s="4" t="str">
        <f>"20220122905"</f>
        <v>20220122905</v>
      </c>
      <c r="E840" s="4" t="str">
        <f t="shared" si="162"/>
        <v>29</v>
      </c>
      <c r="F840" s="4" t="str">
        <f>"05"</f>
        <v>05</v>
      </c>
      <c r="G840" s="5">
        <v>67.01</v>
      </c>
      <c r="H840" s="5" t="s">
        <v>14</v>
      </c>
      <c r="I840" s="5">
        <v>74.5</v>
      </c>
      <c r="J840" s="5" t="s">
        <v>14</v>
      </c>
      <c r="K840" s="7">
        <v>72.25</v>
      </c>
      <c r="L840" s="8">
        <v>18</v>
      </c>
      <c r="M840" s="9"/>
    </row>
    <row r="841" s="1" customFormat="1" ht="20.1" customHeight="1" spans="1:13">
      <c r="A841" s="4" t="str">
        <f>"37502022030111055423487"</f>
        <v>37502022030111055423487</v>
      </c>
      <c r="B841" s="4" t="s">
        <v>827</v>
      </c>
      <c r="C841" s="4" t="s">
        <v>844</v>
      </c>
      <c r="D841" s="4" t="str">
        <f>"20220122827"</f>
        <v>20220122827</v>
      </c>
      <c r="E841" s="4" t="str">
        <f>"28"</f>
        <v>28</v>
      </c>
      <c r="F841" s="4" t="str">
        <f>"27"</f>
        <v>27</v>
      </c>
      <c r="G841" s="5">
        <v>68.38</v>
      </c>
      <c r="H841" s="5" t="s">
        <v>14</v>
      </c>
      <c r="I841" s="5">
        <v>72.7</v>
      </c>
      <c r="J841" s="5" t="s">
        <v>14</v>
      </c>
      <c r="K841" s="7">
        <v>71.4</v>
      </c>
      <c r="L841" s="8">
        <v>19</v>
      </c>
      <c r="M841" s="9"/>
    </row>
    <row r="842" s="1" customFormat="1" ht="20.1" customHeight="1" spans="1:13">
      <c r="A842" s="4" t="str">
        <f>"37502022030212324425210"</f>
        <v>37502022030212324425210</v>
      </c>
      <c r="B842" s="4" t="s">
        <v>827</v>
      </c>
      <c r="C842" s="4" t="s">
        <v>845</v>
      </c>
      <c r="D842" s="4" t="str">
        <f>"20220122907"</f>
        <v>20220122907</v>
      </c>
      <c r="E842" s="4" t="str">
        <f t="shared" ref="E842:E846" si="163">"29"</f>
        <v>29</v>
      </c>
      <c r="F842" s="4" t="str">
        <f>"07"</f>
        <v>07</v>
      </c>
      <c r="G842" s="5">
        <v>68.05</v>
      </c>
      <c r="H842" s="5" t="s">
        <v>14</v>
      </c>
      <c r="I842" s="5">
        <v>72</v>
      </c>
      <c r="J842" s="5" t="s">
        <v>14</v>
      </c>
      <c r="K842" s="7">
        <v>70.82</v>
      </c>
      <c r="L842" s="8">
        <v>20</v>
      </c>
      <c r="M842" s="9"/>
    </row>
    <row r="843" s="1" customFormat="1" ht="20.1" customHeight="1" spans="1:13">
      <c r="A843" s="4" t="str">
        <f>"37502022022813005322037"</f>
        <v>37502022022813005322037</v>
      </c>
      <c r="B843" s="4" t="s">
        <v>827</v>
      </c>
      <c r="C843" s="4" t="s">
        <v>846</v>
      </c>
      <c r="D843" s="4" t="str">
        <f>"20220122909"</f>
        <v>20220122909</v>
      </c>
      <c r="E843" s="4" t="str">
        <f t="shared" si="163"/>
        <v>29</v>
      </c>
      <c r="F843" s="4" t="str">
        <f>"09"</f>
        <v>09</v>
      </c>
      <c r="G843" s="5">
        <v>64.08</v>
      </c>
      <c r="H843" s="5" t="s">
        <v>14</v>
      </c>
      <c r="I843" s="5">
        <v>71.5</v>
      </c>
      <c r="J843" s="5" t="s">
        <v>14</v>
      </c>
      <c r="K843" s="7">
        <v>69.27</v>
      </c>
      <c r="L843" s="8">
        <v>21</v>
      </c>
      <c r="M843" s="9"/>
    </row>
    <row r="844" s="1" customFormat="1" ht="20.1" customHeight="1" spans="1:13">
      <c r="A844" s="4" t="str">
        <f>"37502022030110560023457"</f>
        <v>37502022030110560023457</v>
      </c>
      <c r="B844" s="4" t="s">
        <v>827</v>
      </c>
      <c r="C844" s="4" t="s">
        <v>847</v>
      </c>
      <c r="D844" s="4" t="str">
        <f>"20220122815"</f>
        <v>20220122815</v>
      </c>
      <c r="E844" s="4" t="str">
        <f t="shared" ref="E844:E853" si="164">"28"</f>
        <v>28</v>
      </c>
      <c r="F844" s="4" t="str">
        <f>"15"</f>
        <v>15</v>
      </c>
      <c r="G844" s="5">
        <v>64.67</v>
      </c>
      <c r="H844" s="5" t="s">
        <v>14</v>
      </c>
      <c r="I844" s="5">
        <v>70.3</v>
      </c>
      <c r="J844" s="5" t="s">
        <v>14</v>
      </c>
      <c r="K844" s="7">
        <v>68.61</v>
      </c>
      <c r="L844" s="8">
        <v>22</v>
      </c>
      <c r="M844" s="9"/>
    </row>
    <row r="845" s="1" customFormat="1" ht="20.1" customHeight="1" spans="1:13">
      <c r="A845" s="4" t="str">
        <f>"37502022030216491625569"</f>
        <v>37502022030216491625569</v>
      </c>
      <c r="B845" s="4" t="s">
        <v>827</v>
      </c>
      <c r="C845" s="4" t="s">
        <v>848</v>
      </c>
      <c r="D845" s="4" t="str">
        <f>"20220122929"</f>
        <v>20220122929</v>
      </c>
      <c r="E845" s="4" t="str">
        <f t="shared" si="163"/>
        <v>29</v>
      </c>
      <c r="F845" s="4" t="str">
        <f>"29"</f>
        <v>29</v>
      </c>
      <c r="G845" s="5">
        <v>70.69</v>
      </c>
      <c r="H845" s="5" t="s">
        <v>14</v>
      </c>
      <c r="I845" s="5">
        <v>66.1</v>
      </c>
      <c r="J845" s="5" t="s">
        <v>14</v>
      </c>
      <c r="K845" s="7">
        <v>67.48</v>
      </c>
      <c r="L845" s="8">
        <v>23</v>
      </c>
      <c r="M845" s="9"/>
    </row>
    <row r="846" s="1" customFormat="1" ht="20.1" customHeight="1" spans="1:13">
      <c r="A846" s="4" t="str">
        <f>"37502022022711324720023"</f>
        <v>37502022022711324720023</v>
      </c>
      <c r="B846" s="4" t="s">
        <v>827</v>
      </c>
      <c r="C846" s="4" t="s">
        <v>849</v>
      </c>
      <c r="D846" s="4" t="str">
        <f>"20220122921"</f>
        <v>20220122921</v>
      </c>
      <c r="E846" s="4" t="str">
        <f t="shared" si="163"/>
        <v>29</v>
      </c>
      <c r="F846" s="4" t="str">
        <f>"21"</f>
        <v>21</v>
      </c>
      <c r="G846" s="5">
        <v>65.68</v>
      </c>
      <c r="H846" s="5" t="s">
        <v>14</v>
      </c>
      <c r="I846" s="5">
        <v>68</v>
      </c>
      <c r="J846" s="5" t="s">
        <v>14</v>
      </c>
      <c r="K846" s="7">
        <v>67.3</v>
      </c>
      <c r="L846" s="8">
        <v>24</v>
      </c>
      <c r="M846" s="9"/>
    </row>
    <row r="847" s="1" customFormat="1" ht="20.1" customHeight="1" spans="1:13">
      <c r="A847" s="4" t="str">
        <f>"37502022030118183124210"</f>
        <v>37502022030118183124210</v>
      </c>
      <c r="B847" s="4" t="s">
        <v>827</v>
      </c>
      <c r="C847" s="4" t="s">
        <v>850</v>
      </c>
      <c r="D847" s="4" t="str">
        <f>"20220122821"</f>
        <v>20220122821</v>
      </c>
      <c r="E847" s="4" t="str">
        <f t="shared" si="164"/>
        <v>28</v>
      </c>
      <c r="F847" s="4" t="str">
        <f>"21"</f>
        <v>21</v>
      </c>
      <c r="G847" s="5">
        <v>70.39</v>
      </c>
      <c r="H847" s="5" t="s">
        <v>14</v>
      </c>
      <c r="I847" s="5">
        <v>65.8</v>
      </c>
      <c r="J847" s="5" t="s">
        <v>14</v>
      </c>
      <c r="K847" s="7">
        <v>67.18</v>
      </c>
      <c r="L847" s="8">
        <v>25</v>
      </c>
      <c r="M847" s="9"/>
    </row>
    <row r="848" s="1" customFormat="1" ht="20.1" customHeight="1" spans="1:13">
      <c r="A848" s="4" t="str">
        <f>"37502022030119434124387"</f>
        <v>37502022030119434124387</v>
      </c>
      <c r="B848" s="4" t="s">
        <v>827</v>
      </c>
      <c r="C848" s="4" t="s">
        <v>851</v>
      </c>
      <c r="D848" s="4" t="str">
        <f>"20220122925"</f>
        <v>20220122925</v>
      </c>
      <c r="E848" s="4" t="str">
        <f>"29"</f>
        <v>29</v>
      </c>
      <c r="F848" s="4" t="str">
        <f>"25"</f>
        <v>25</v>
      </c>
      <c r="G848" s="5">
        <v>67.82</v>
      </c>
      <c r="H848" s="5" t="s">
        <v>14</v>
      </c>
      <c r="I848" s="5">
        <v>66.8</v>
      </c>
      <c r="J848" s="5" t="s">
        <v>14</v>
      </c>
      <c r="K848" s="7">
        <v>67.11</v>
      </c>
      <c r="L848" s="8">
        <v>26</v>
      </c>
      <c r="M848" s="9"/>
    </row>
    <row r="849" s="1" customFormat="1" ht="20.1" customHeight="1" spans="1:13">
      <c r="A849" s="4" t="str">
        <f>"37502022022818370022846"</f>
        <v>37502022022818370022846</v>
      </c>
      <c r="B849" s="4" t="s">
        <v>827</v>
      </c>
      <c r="C849" s="4" t="s">
        <v>852</v>
      </c>
      <c r="D849" s="4" t="str">
        <f>"20220122812"</f>
        <v>20220122812</v>
      </c>
      <c r="E849" s="4" t="str">
        <f t="shared" si="164"/>
        <v>28</v>
      </c>
      <c r="F849" s="4" t="str">
        <f>"12"</f>
        <v>12</v>
      </c>
      <c r="G849" s="5">
        <v>69.48</v>
      </c>
      <c r="H849" s="5" t="s">
        <v>14</v>
      </c>
      <c r="I849" s="5">
        <v>65.2</v>
      </c>
      <c r="J849" s="5" t="s">
        <v>14</v>
      </c>
      <c r="K849" s="7">
        <v>66.48</v>
      </c>
      <c r="L849" s="8">
        <v>27</v>
      </c>
      <c r="M849" s="9"/>
    </row>
    <row r="850" s="1" customFormat="1" ht="20.1" customHeight="1" spans="1:13">
      <c r="A850" s="4" t="str">
        <f>"37502022022809221721432"</f>
        <v>37502022022809221721432</v>
      </c>
      <c r="B850" s="4" t="s">
        <v>827</v>
      </c>
      <c r="C850" s="4" t="s">
        <v>853</v>
      </c>
      <c r="D850" s="4" t="str">
        <f>"20220122814"</f>
        <v>20220122814</v>
      </c>
      <c r="E850" s="4" t="str">
        <f t="shared" si="164"/>
        <v>28</v>
      </c>
      <c r="F850" s="4" t="str">
        <f>"14"</f>
        <v>14</v>
      </c>
      <c r="G850" s="5">
        <v>67.27</v>
      </c>
      <c r="H850" s="5" t="s">
        <v>14</v>
      </c>
      <c r="I850" s="5">
        <v>65.9</v>
      </c>
      <c r="J850" s="5" t="s">
        <v>14</v>
      </c>
      <c r="K850" s="7">
        <v>66.31</v>
      </c>
      <c r="L850" s="8">
        <v>28</v>
      </c>
      <c r="M850" s="9"/>
    </row>
    <row r="851" s="1" customFormat="1" ht="20.1" customHeight="1" spans="1:13">
      <c r="A851" s="4" t="str">
        <f>"37502022030118405924253"</f>
        <v>37502022030118405924253</v>
      </c>
      <c r="B851" s="4" t="s">
        <v>827</v>
      </c>
      <c r="C851" s="4" t="s">
        <v>854</v>
      </c>
      <c r="D851" s="4" t="str">
        <f>"20220122824"</f>
        <v>20220122824</v>
      </c>
      <c r="E851" s="4" t="str">
        <f t="shared" si="164"/>
        <v>28</v>
      </c>
      <c r="F851" s="4" t="str">
        <f>"24"</f>
        <v>24</v>
      </c>
      <c r="G851" s="5">
        <v>64.16</v>
      </c>
      <c r="H851" s="5" t="s">
        <v>14</v>
      </c>
      <c r="I851" s="5">
        <v>66.8</v>
      </c>
      <c r="J851" s="5" t="s">
        <v>14</v>
      </c>
      <c r="K851" s="7">
        <v>66.01</v>
      </c>
      <c r="L851" s="8">
        <v>29</v>
      </c>
      <c r="M851" s="9"/>
    </row>
    <row r="852" s="1" customFormat="1" ht="20.1" customHeight="1" spans="1:13">
      <c r="A852" s="4" t="str">
        <f>"37502022030121132924558"</f>
        <v>37502022030121132924558</v>
      </c>
      <c r="B852" s="4" t="s">
        <v>827</v>
      </c>
      <c r="C852" s="4" t="s">
        <v>855</v>
      </c>
      <c r="D852" s="4" t="str">
        <f>"20220122818"</f>
        <v>20220122818</v>
      </c>
      <c r="E852" s="4" t="str">
        <f t="shared" si="164"/>
        <v>28</v>
      </c>
      <c r="F852" s="4" t="str">
        <f>"18"</f>
        <v>18</v>
      </c>
      <c r="G852" s="5">
        <v>61.63</v>
      </c>
      <c r="H852" s="5" t="s">
        <v>14</v>
      </c>
      <c r="I852" s="5">
        <v>67</v>
      </c>
      <c r="J852" s="5" t="s">
        <v>14</v>
      </c>
      <c r="K852" s="7">
        <v>65.39</v>
      </c>
      <c r="L852" s="8">
        <v>30</v>
      </c>
      <c r="M852" s="9"/>
    </row>
    <row r="853" s="1" customFormat="1" ht="20.1" customHeight="1" spans="1:13">
      <c r="A853" s="4" t="str">
        <f>"37502022022708453719876"</f>
        <v>37502022022708453719876</v>
      </c>
      <c r="B853" s="4" t="s">
        <v>827</v>
      </c>
      <c r="C853" s="4" t="s">
        <v>856</v>
      </c>
      <c r="D853" s="4" t="str">
        <f>"20220122817"</f>
        <v>20220122817</v>
      </c>
      <c r="E853" s="4" t="str">
        <f t="shared" si="164"/>
        <v>28</v>
      </c>
      <c r="F853" s="4" t="str">
        <f>"17"</f>
        <v>17</v>
      </c>
      <c r="G853" s="5">
        <v>61.19</v>
      </c>
      <c r="H853" s="5" t="s">
        <v>14</v>
      </c>
      <c r="I853" s="5">
        <v>64.6</v>
      </c>
      <c r="J853" s="5" t="s">
        <v>14</v>
      </c>
      <c r="K853" s="7">
        <v>63.58</v>
      </c>
      <c r="L853" s="8">
        <v>31</v>
      </c>
      <c r="M853" s="9"/>
    </row>
    <row r="854" s="1" customFormat="1" ht="20.1" customHeight="1" spans="1:13">
      <c r="A854" s="4" t="str">
        <f>"37502022022713032220136"</f>
        <v>37502022022713032220136</v>
      </c>
      <c r="B854" s="4" t="s">
        <v>827</v>
      </c>
      <c r="C854" s="4" t="s">
        <v>857</v>
      </c>
      <c r="D854" s="4" t="str">
        <f>"20220122926"</f>
        <v>20220122926</v>
      </c>
      <c r="E854" s="4" t="str">
        <f t="shared" ref="E854:E860" si="165">"29"</f>
        <v>29</v>
      </c>
      <c r="F854" s="4" t="str">
        <f>"26"</f>
        <v>26</v>
      </c>
      <c r="G854" s="5">
        <v>65.17</v>
      </c>
      <c r="H854" s="5" t="s">
        <v>14</v>
      </c>
      <c r="I854" s="5">
        <v>60.6</v>
      </c>
      <c r="J854" s="5" t="s">
        <v>14</v>
      </c>
      <c r="K854" s="7">
        <v>61.97</v>
      </c>
      <c r="L854" s="8">
        <v>32</v>
      </c>
      <c r="M854" s="9"/>
    </row>
    <row r="855" s="1" customFormat="1" ht="20.1" customHeight="1" spans="1:13">
      <c r="A855" s="4" t="str">
        <f>"37502022030115063323880"</f>
        <v>37502022030115063323880</v>
      </c>
      <c r="B855" s="4" t="s">
        <v>827</v>
      </c>
      <c r="C855" s="4" t="s">
        <v>858</v>
      </c>
      <c r="D855" s="4" t="str">
        <f>"20220122920"</f>
        <v>20220122920</v>
      </c>
      <c r="E855" s="4" t="str">
        <f t="shared" si="165"/>
        <v>29</v>
      </c>
      <c r="F855" s="4" t="str">
        <f>"20"</f>
        <v>20</v>
      </c>
      <c r="G855" s="5">
        <v>62.93</v>
      </c>
      <c r="H855" s="5" t="s">
        <v>14</v>
      </c>
      <c r="I855" s="5">
        <v>58.7</v>
      </c>
      <c r="J855" s="5" t="s">
        <v>14</v>
      </c>
      <c r="K855" s="7">
        <v>59.97</v>
      </c>
      <c r="L855" s="8">
        <v>33</v>
      </c>
      <c r="M855" s="9"/>
    </row>
    <row r="856" s="1" customFormat="1" ht="20.1" customHeight="1" spans="1:13">
      <c r="A856" s="4" t="str">
        <f>"37502022022612411919116"</f>
        <v>37502022022612411919116</v>
      </c>
      <c r="B856" s="4" t="s">
        <v>827</v>
      </c>
      <c r="C856" s="4" t="s">
        <v>859</v>
      </c>
      <c r="D856" s="4" t="str">
        <f>"20220122813"</f>
        <v>20220122813</v>
      </c>
      <c r="E856" s="4" t="str">
        <f>"28"</f>
        <v>28</v>
      </c>
      <c r="F856" s="4" t="str">
        <f>"13"</f>
        <v>13</v>
      </c>
      <c r="G856" s="5">
        <v>0</v>
      </c>
      <c r="H856" s="5" t="s">
        <v>74</v>
      </c>
      <c r="I856" s="5">
        <v>0</v>
      </c>
      <c r="J856" s="5" t="s">
        <v>74</v>
      </c>
      <c r="K856" s="7">
        <v>0</v>
      </c>
      <c r="L856" s="8">
        <v>34</v>
      </c>
      <c r="M856" s="9"/>
    </row>
    <row r="857" s="1" customFormat="1" ht="20.1" customHeight="1" spans="1:13">
      <c r="A857" s="4" t="str">
        <f>"37502022022712171320089"</f>
        <v>37502022022712171320089</v>
      </c>
      <c r="B857" s="4" t="s">
        <v>827</v>
      </c>
      <c r="C857" s="4" t="s">
        <v>860</v>
      </c>
      <c r="D857" s="4" t="str">
        <f>"20220122919"</f>
        <v>20220122919</v>
      </c>
      <c r="E857" s="4" t="str">
        <f t="shared" si="165"/>
        <v>29</v>
      </c>
      <c r="F857" s="4" t="str">
        <f>"19"</f>
        <v>19</v>
      </c>
      <c r="G857" s="5">
        <v>0</v>
      </c>
      <c r="H857" s="5" t="s">
        <v>74</v>
      </c>
      <c r="I857" s="5">
        <v>0</v>
      </c>
      <c r="J857" s="5" t="s">
        <v>74</v>
      </c>
      <c r="K857" s="7">
        <v>0</v>
      </c>
      <c r="L857" s="8">
        <v>34</v>
      </c>
      <c r="M857" s="9"/>
    </row>
    <row r="858" s="1" customFormat="1" ht="20.1" customHeight="1" spans="1:13">
      <c r="A858" s="4" t="str">
        <f>"37502022022714510720286"</f>
        <v>37502022022714510720286</v>
      </c>
      <c r="B858" s="4" t="s">
        <v>827</v>
      </c>
      <c r="C858" s="4" t="s">
        <v>861</v>
      </c>
      <c r="D858" s="4" t="str">
        <f>"20220122908"</f>
        <v>20220122908</v>
      </c>
      <c r="E858" s="4" t="str">
        <f t="shared" si="165"/>
        <v>29</v>
      </c>
      <c r="F858" s="4" t="str">
        <f>"08"</f>
        <v>08</v>
      </c>
      <c r="G858" s="5">
        <v>0</v>
      </c>
      <c r="H858" s="5" t="s">
        <v>74</v>
      </c>
      <c r="I858" s="5">
        <v>0</v>
      </c>
      <c r="J858" s="5" t="s">
        <v>74</v>
      </c>
      <c r="K858" s="7">
        <v>0</v>
      </c>
      <c r="L858" s="8">
        <v>34</v>
      </c>
      <c r="M858" s="9"/>
    </row>
    <row r="859" s="1" customFormat="1" ht="20.1" customHeight="1" spans="1:13">
      <c r="A859" s="4" t="str">
        <f>"37502022022720371920830"</f>
        <v>37502022022720371920830</v>
      </c>
      <c r="B859" s="4" t="s">
        <v>827</v>
      </c>
      <c r="C859" s="4" t="s">
        <v>862</v>
      </c>
      <c r="D859" s="4" t="str">
        <f>"20220122915"</f>
        <v>20220122915</v>
      </c>
      <c r="E859" s="4" t="str">
        <f t="shared" si="165"/>
        <v>29</v>
      </c>
      <c r="F859" s="4" t="str">
        <f>"15"</f>
        <v>15</v>
      </c>
      <c r="G859" s="5">
        <v>0</v>
      </c>
      <c r="H859" s="5" t="s">
        <v>74</v>
      </c>
      <c r="I859" s="5">
        <v>0</v>
      </c>
      <c r="J859" s="5" t="s">
        <v>74</v>
      </c>
      <c r="K859" s="7">
        <v>0</v>
      </c>
      <c r="L859" s="8">
        <v>34</v>
      </c>
      <c r="M859" s="9"/>
    </row>
    <row r="860" s="1" customFormat="1" ht="20.1" customHeight="1" spans="1:13">
      <c r="A860" s="4" t="str">
        <f>"37502022022721383220952"</f>
        <v>37502022022721383220952</v>
      </c>
      <c r="B860" s="4" t="s">
        <v>827</v>
      </c>
      <c r="C860" s="4" t="s">
        <v>863</v>
      </c>
      <c r="D860" s="4" t="str">
        <f>"20220122904"</f>
        <v>20220122904</v>
      </c>
      <c r="E860" s="4" t="str">
        <f t="shared" si="165"/>
        <v>29</v>
      </c>
      <c r="F860" s="4" t="str">
        <f>"04"</f>
        <v>04</v>
      </c>
      <c r="G860" s="5">
        <v>0</v>
      </c>
      <c r="H860" s="5" t="s">
        <v>74</v>
      </c>
      <c r="I860" s="5">
        <v>0</v>
      </c>
      <c r="J860" s="5" t="s">
        <v>74</v>
      </c>
      <c r="K860" s="7">
        <v>0</v>
      </c>
      <c r="L860" s="8">
        <v>34</v>
      </c>
      <c r="M860" s="9"/>
    </row>
    <row r="861" s="1" customFormat="1" ht="20.1" customHeight="1" spans="1:13">
      <c r="A861" s="4" t="str">
        <f>"37502022022810124021570"</f>
        <v>37502022022810124021570</v>
      </c>
      <c r="B861" s="4" t="s">
        <v>827</v>
      </c>
      <c r="C861" s="4" t="s">
        <v>864</v>
      </c>
      <c r="D861" s="4" t="str">
        <f>"20220122825"</f>
        <v>20220122825</v>
      </c>
      <c r="E861" s="4" t="str">
        <f t="shared" ref="E861:E865" si="166">"28"</f>
        <v>28</v>
      </c>
      <c r="F861" s="4" t="str">
        <f>"25"</f>
        <v>25</v>
      </c>
      <c r="G861" s="5">
        <v>0</v>
      </c>
      <c r="H861" s="5" t="s">
        <v>74</v>
      </c>
      <c r="I861" s="5">
        <v>0</v>
      </c>
      <c r="J861" s="5" t="s">
        <v>74</v>
      </c>
      <c r="K861" s="7">
        <v>0</v>
      </c>
      <c r="L861" s="8">
        <v>34</v>
      </c>
      <c r="M861" s="9"/>
    </row>
    <row r="862" s="1" customFormat="1" ht="20.1" customHeight="1" spans="1:13">
      <c r="A862" s="4" t="str">
        <f>"37502022022818323522842"</f>
        <v>37502022022818323522842</v>
      </c>
      <c r="B862" s="4" t="s">
        <v>827</v>
      </c>
      <c r="C862" s="4" t="s">
        <v>865</v>
      </c>
      <c r="D862" s="4" t="str">
        <f>"20220122912"</f>
        <v>20220122912</v>
      </c>
      <c r="E862" s="4" t="str">
        <f t="shared" ref="E862:E867" si="167">"29"</f>
        <v>29</v>
      </c>
      <c r="F862" s="4" t="str">
        <f>"12"</f>
        <v>12</v>
      </c>
      <c r="G862" s="5">
        <v>0</v>
      </c>
      <c r="H862" s="5" t="s">
        <v>74</v>
      </c>
      <c r="I862" s="5">
        <v>0</v>
      </c>
      <c r="J862" s="5" t="s">
        <v>74</v>
      </c>
      <c r="K862" s="7">
        <v>0</v>
      </c>
      <c r="L862" s="8">
        <v>34</v>
      </c>
      <c r="M862" s="9"/>
    </row>
    <row r="863" s="1" customFormat="1" ht="20.1" customHeight="1" spans="1:13">
      <c r="A863" s="4" t="str">
        <f>"37502022022821450123026"</f>
        <v>37502022022821450123026</v>
      </c>
      <c r="B863" s="4" t="s">
        <v>827</v>
      </c>
      <c r="C863" s="4" t="s">
        <v>866</v>
      </c>
      <c r="D863" s="4" t="str">
        <f>"20220122918"</f>
        <v>20220122918</v>
      </c>
      <c r="E863" s="4" t="str">
        <f t="shared" si="167"/>
        <v>29</v>
      </c>
      <c r="F863" s="4" t="str">
        <f>"18"</f>
        <v>18</v>
      </c>
      <c r="G863" s="5">
        <v>0</v>
      </c>
      <c r="H863" s="5" t="s">
        <v>74</v>
      </c>
      <c r="I863" s="5">
        <v>0</v>
      </c>
      <c r="J863" s="5" t="s">
        <v>74</v>
      </c>
      <c r="K863" s="7">
        <v>0</v>
      </c>
      <c r="L863" s="8">
        <v>34</v>
      </c>
      <c r="M863" s="9"/>
    </row>
    <row r="864" s="1" customFormat="1" ht="20.1" customHeight="1" spans="1:13">
      <c r="A864" s="4" t="str">
        <f>"37502022030115404323939"</f>
        <v>37502022030115404323939</v>
      </c>
      <c r="B864" s="4" t="s">
        <v>827</v>
      </c>
      <c r="C864" s="4" t="s">
        <v>165</v>
      </c>
      <c r="D864" s="4" t="str">
        <f>"20220122816"</f>
        <v>20220122816</v>
      </c>
      <c r="E864" s="4" t="str">
        <f t="shared" si="166"/>
        <v>28</v>
      </c>
      <c r="F864" s="4" t="str">
        <f>"16"</f>
        <v>16</v>
      </c>
      <c r="G864" s="5">
        <v>0</v>
      </c>
      <c r="H864" s="5" t="s">
        <v>74</v>
      </c>
      <c r="I864" s="5">
        <v>0</v>
      </c>
      <c r="J864" s="5" t="s">
        <v>74</v>
      </c>
      <c r="K864" s="7">
        <v>0</v>
      </c>
      <c r="L864" s="8">
        <v>34</v>
      </c>
      <c r="M864" s="9"/>
    </row>
    <row r="865" s="1" customFormat="1" ht="20.1" customHeight="1" spans="1:13">
      <c r="A865" s="4" t="str">
        <f>"37502022030116442824054"</f>
        <v>37502022030116442824054</v>
      </c>
      <c r="B865" s="4" t="s">
        <v>827</v>
      </c>
      <c r="C865" s="4" t="s">
        <v>867</v>
      </c>
      <c r="D865" s="4" t="str">
        <f>"20220122829"</f>
        <v>20220122829</v>
      </c>
      <c r="E865" s="4" t="str">
        <f t="shared" si="166"/>
        <v>28</v>
      </c>
      <c r="F865" s="4" t="str">
        <f>"29"</f>
        <v>29</v>
      </c>
      <c r="G865" s="5">
        <v>0</v>
      </c>
      <c r="H865" s="5" t="s">
        <v>74</v>
      </c>
      <c r="I865" s="5">
        <v>0</v>
      </c>
      <c r="J865" s="5" t="s">
        <v>74</v>
      </c>
      <c r="K865" s="7">
        <v>0</v>
      </c>
      <c r="L865" s="8">
        <v>34</v>
      </c>
      <c r="M865" s="9"/>
    </row>
    <row r="866" s="1" customFormat="1" ht="20.1" customHeight="1" spans="1:13">
      <c r="A866" s="4" t="str">
        <f>"37502022030118551724284"</f>
        <v>37502022030118551724284</v>
      </c>
      <c r="B866" s="4" t="s">
        <v>827</v>
      </c>
      <c r="C866" s="4" t="s">
        <v>868</v>
      </c>
      <c r="D866" s="4" t="str">
        <f>"20220123001"</f>
        <v>20220123001</v>
      </c>
      <c r="E866" s="4" t="str">
        <f>"30"</f>
        <v>30</v>
      </c>
      <c r="F866" s="4" t="str">
        <f>"01"</f>
        <v>01</v>
      </c>
      <c r="G866" s="5">
        <v>0</v>
      </c>
      <c r="H866" s="5" t="s">
        <v>74</v>
      </c>
      <c r="I866" s="5">
        <v>0</v>
      </c>
      <c r="J866" s="5" t="s">
        <v>74</v>
      </c>
      <c r="K866" s="7">
        <v>0</v>
      </c>
      <c r="L866" s="8">
        <v>34</v>
      </c>
      <c r="M866" s="9"/>
    </row>
    <row r="867" s="1" customFormat="1" ht="20.1" customHeight="1" spans="1:13">
      <c r="A867" s="4" t="str">
        <f>"37502022030119320324363"</f>
        <v>37502022030119320324363</v>
      </c>
      <c r="B867" s="4" t="s">
        <v>827</v>
      </c>
      <c r="C867" s="4" t="s">
        <v>869</v>
      </c>
      <c r="D867" s="4" t="str">
        <f>"20220122916"</f>
        <v>20220122916</v>
      </c>
      <c r="E867" s="4" t="str">
        <f t="shared" si="167"/>
        <v>29</v>
      </c>
      <c r="F867" s="4" t="str">
        <f>"16"</f>
        <v>16</v>
      </c>
      <c r="G867" s="5">
        <v>0</v>
      </c>
      <c r="H867" s="5" t="s">
        <v>74</v>
      </c>
      <c r="I867" s="5">
        <v>0</v>
      </c>
      <c r="J867" s="5" t="s">
        <v>74</v>
      </c>
      <c r="K867" s="7">
        <v>0</v>
      </c>
      <c r="L867" s="8">
        <v>34</v>
      </c>
      <c r="M867" s="9"/>
    </row>
    <row r="868" s="1" customFormat="1" ht="20.1" customHeight="1" spans="1:13">
      <c r="A868" s="4" t="str">
        <f>"37502022030119474824394"</f>
        <v>37502022030119474824394</v>
      </c>
      <c r="B868" s="4" t="s">
        <v>827</v>
      </c>
      <c r="C868" s="4" t="s">
        <v>870</v>
      </c>
      <c r="D868" s="4" t="str">
        <f>"20220122830"</f>
        <v>20220122830</v>
      </c>
      <c r="E868" s="4" t="str">
        <f t="shared" ref="E868:E871" si="168">"28"</f>
        <v>28</v>
      </c>
      <c r="F868" s="4" t="str">
        <f>"30"</f>
        <v>30</v>
      </c>
      <c r="G868" s="5">
        <v>0</v>
      </c>
      <c r="H868" s="5" t="s">
        <v>74</v>
      </c>
      <c r="I868" s="5">
        <v>0</v>
      </c>
      <c r="J868" s="5" t="s">
        <v>74</v>
      </c>
      <c r="K868" s="7">
        <v>0</v>
      </c>
      <c r="L868" s="8">
        <v>34</v>
      </c>
      <c r="M868" s="9"/>
    </row>
    <row r="869" s="1" customFormat="1" ht="20.1" customHeight="1" spans="1:13">
      <c r="A869" s="4" t="str">
        <f>"37502022030120314424465"</f>
        <v>37502022030120314424465</v>
      </c>
      <c r="B869" s="4" t="s">
        <v>827</v>
      </c>
      <c r="C869" s="4" t="s">
        <v>871</v>
      </c>
      <c r="D869" s="4" t="str">
        <f>"20220122811"</f>
        <v>20220122811</v>
      </c>
      <c r="E869" s="4" t="str">
        <f t="shared" si="168"/>
        <v>28</v>
      </c>
      <c r="F869" s="4" t="str">
        <f>"11"</f>
        <v>11</v>
      </c>
      <c r="G869" s="5">
        <v>0</v>
      </c>
      <c r="H869" s="5" t="s">
        <v>74</v>
      </c>
      <c r="I869" s="5">
        <v>0</v>
      </c>
      <c r="J869" s="5" t="s">
        <v>74</v>
      </c>
      <c r="K869" s="7">
        <v>0</v>
      </c>
      <c r="L869" s="8">
        <v>34</v>
      </c>
      <c r="M869" s="9"/>
    </row>
    <row r="870" s="1" customFormat="1" ht="20.1" customHeight="1" spans="1:13">
      <c r="A870" s="4" t="str">
        <f>"37502022030122141124664"</f>
        <v>37502022030122141124664</v>
      </c>
      <c r="B870" s="4" t="s">
        <v>827</v>
      </c>
      <c r="C870" s="4" t="s">
        <v>872</v>
      </c>
      <c r="D870" s="4" t="str">
        <f>"20220123003"</f>
        <v>20220123003</v>
      </c>
      <c r="E870" s="4" t="str">
        <f>"30"</f>
        <v>30</v>
      </c>
      <c r="F870" s="4" t="str">
        <f>"03"</f>
        <v>03</v>
      </c>
      <c r="G870" s="5">
        <v>0</v>
      </c>
      <c r="H870" s="5" t="s">
        <v>74</v>
      </c>
      <c r="I870" s="5">
        <v>0</v>
      </c>
      <c r="J870" s="5" t="s">
        <v>74</v>
      </c>
      <c r="K870" s="7">
        <v>0</v>
      </c>
      <c r="L870" s="8">
        <v>34</v>
      </c>
      <c r="M870" s="9"/>
    </row>
    <row r="871" s="1" customFormat="1" ht="20.1" customHeight="1" spans="1:13">
      <c r="A871" s="4" t="str">
        <f>"37502022030209522924962"</f>
        <v>37502022030209522924962</v>
      </c>
      <c r="B871" s="4" t="s">
        <v>827</v>
      </c>
      <c r="C871" s="4" t="s">
        <v>873</v>
      </c>
      <c r="D871" s="4" t="str">
        <f>"20220122820"</f>
        <v>20220122820</v>
      </c>
      <c r="E871" s="4" t="str">
        <f t="shared" si="168"/>
        <v>28</v>
      </c>
      <c r="F871" s="4" t="str">
        <f>"20"</f>
        <v>20</v>
      </c>
      <c r="G871" s="5">
        <v>0</v>
      </c>
      <c r="H871" s="5" t="s">
        <v>74</v>
      </c>
      <c r="I871" s="5">
        <v>0</v>
      </c>
      <c r="J871" s="5" t="s">
        <v>74</v>
      </c>
      <c r="K871" s="7">
        <v>0</v>
      </c>
      <c r="L871" s="8">
        <v>34</v>
      </c>
      <c r="M871" s="9"/>
    </row>
    <row r="872" s="1" customFormat="1" ht="20.1" customHeight="1" spans="1:13">
      <c r="A872" s="4" t="str">
        <f>"37502022030210274725020"</f>
        <v>37502022030210274725020</v>
      </c>
      <c r="B872" s="4" t="s">
        <v>827</v>
      </c>
      <c r="C872" s="4" t="s">
        <v>874</v>
      </c>
      <c r="D872" s="4" t="str">
        <f>"20220122930"</f>
        <v>20220122930</v>
      </c>
      <c r="E872" s="4" t="str">
        <f>"29"</f>
        <v>29</v>
      </c>
      <c r="F872" s="4" t="str">
        <f>"30"</f>
        <v>30</v>
      </c>
      <c r="G872" s="5">
        <v>0</v>
      </c>
      <c r="H872" s="5" t="s">
        <v>74</v>
      </c>
      <c r="I872" s="5">
        <v>0</v>
      </c>
      <c r="J872" s="5" t="s">
        <v>74</v>
      </c>
      <c r="K872" s="7">
        <v>0</v>
      </c>
      <c r="L872" s="8">
        <v>34</v>
      </c>
      <c r="M872" s="9"/>
    </row>
    <row r="873" s="1" customFormat="1" ht="20.1" customHeight="1" spans="1:13">
      <c r="A873" s="4" t="str">
        <f>"37502022030211110625102"</f>
        <v>37502022030211110625102</v>
      </c>
      <c r="B873" s="4" t="s">
        <v>827</v>
      </c>
      <c r="C873" s="4" t="s">
        <v>875</v>
      </c>
      <c r="D873" s="4" t="str">
        <f>"20220123002"</f>
        <v>20220123002</v>
      </c>
      <c r="E873" s="4" t="str">
        <f>"30"</f>
        <v>30</v>
      </c>
      <c r="F873" s="4" t="str">
        <f>"02"</f>
        <v>02</v>
      </c>
      <c r="G873" s="5">
        <v>0</v>
      </c>
      <c r="H873" s="5" t="s">
        <v>74</v>
      </c>
      <c r="I873" s="5">
        <v>0</v>
      </c>
      <c r="J873" s="5" t="s">
        <v>74</v>
      </c>
      <c r="K873" s="7">
        <v>0</v>
      </c>
      <c r="L873" s="8">
        <v>34</v>
      </c>
      <c r="M873" s="9"/>
    </row>
    <row r="874" s="1" customFormat="1" ht="20.1" customHeight="1" spans="1:13">
      <c r="A874" s="4" t="str">
        <f>"37502022030212493525237"</f>
        <v>37502022030212493525237</v>
      </c>
      <c r="B874" s="4" t="s">
        <v>827</v>
      </c>
      <c r="C874" s="4" t="s">
        <v>876</v>
      </c>
      <c r="D874" s="4" t="str">
        <f>"20220122828"</f>
        <v>20220122828</v>
      </c>
      <c r="E874" s="4" t="str">
        <f>"28"</f>
        <v>28</v>
      </c>
      <c r="F874" s="4" t="str">
        <f>"28"</f>
        <v>28</v>
      </c>
      <c r="G874" s="5">
        <v>0</v>
      </c>
      <c r="H874" s="5" t="s">
        <v>74</v>
      </c>
      <c r="I874" s="5">
        <v>0</v>
      </c>
      <c r="J874" s="5" t="s">
        <v>74</v>
      </c>
      <c r="K874" s="7">
        <v>0</v>
      </c>
      <c r="L874" s="8">
        <v>34</v>
      </c>
      <c r="M874" s="9"/>
    </row>
    <row r="875" s="1" customFormat="1" ht="20.1" customHeight="1" spans="1:13">
      <c r="A875" s="4" t="str">
        <f>"37502022030219214525801"</f>
        <v>37502022030219214525801</v>
      </c>
      <c r="B875" s="4" t="s">
        <v>827</v>
      </c>
      <c r="C875" s="4" t="s">
        <v>877</v>
      </c>
      <c r="D875" s="4" t="str">
        <f>"20220122917"</f>
        <v>20220122917</v>
      </c>
      <c r="E875" s="4" t="str">
        <f>"29"</f>
        <v>29</v>
      </c>
      <c r="F875" s="4" t="str">
        <f>"17"</f>
        <v>17</v>
      </c>
      <c r="G875" s="5">
        <v>0</v>
      </c>
      <c r="H875" s="5" t="s">
        <v>74</v>
      </c>
      <c r="I875" s="5">
        <v>0</v>
      </c>
      <c r="J875" s="5" t="s">
        <v>74</v>
      </c>
      <c r="K875" s="7">
        <v>0</v>
      </c>
      <c r="L875" s="8">
        <v>34</v>
      </c>
      <c r="M875" s="9"/>
    </row>
    <row r="876" s="1" customFormat="1" ht="20.1" customHeight="1" spans="1:13">
      <c r="A876" s="4" t="str">
        <f>"37502022022609350718735"</f>
        <v>37502022022609350718735</v>
      </c>
      <c r="B876" s="4" t="s">
        <v>878</v>
      </c>
      <c r="C876" s="4" t="s">
        <v>879</v>
      </c>
      <c r="D876" s="4" t="str">
        <f>"20220133125"</f>
        <v>20220133125</v>
      </c>
      <c r="E876" s="4" t="str">
        <f t="shared" ref="E876:E878" si="169">"31"</f>
        <v>31</v>
      </c>
      <c r="F876" s="4" t="str">
        <f>"25"</f>
        <v>25</v>
      </c>
      <c r="G876" s="5">
        <v>85.92</v>
      </c>
      <c r="H876" s="5" t="s">
        <v>14</v>
      </c>
      <c r="I876" s="5">
        <v>87</v>
      </c>
      <c r="J876" s="5" t="s">
        <v>14</v>
      </c>
      <c r="K876" s="7">
        <v>86.68</v>
      </c>
      <c r="L876" s="8">
        <v>1</v>
      </c>
      <c r="M876" s="9"/>
    </row>
    <row r="877" s="1" customFormat="1" ht="20.1" customHeight="1" spans="1:13">
      <c r="A877" s="4" t="str">
        <f>"37502022022819022922871"</f>
        <v>37502022022819022922871</v>
      </c>
      <c r="B877" s="4" t="s">
        <v>878</v>
      </c>
      <c r="C877" s="4" t="s">
        <v>880</v>
      </c>
      <c r="D877" s="4" t="str">
        <f>"20220133108"</f>
        <v>20220133108</v>
      </c>
      <c r="E877" s="4" t="str">
        <f t="shared" si="169"/>
        <v>31</v>
      </c>
      <c r="F877" s="4" t="str">
        <f>"08"</f>
        <v>08</v>
      </c>
      <c r="G877" s="5">
        <v>74.14</v>
      </c>
      <c r="H877" s="5" t="s">
        <v>14</v>
      </c>
      <c r="I877" s="5">
        <v>85.2</v>
      </c>
      <c r="J877" s="5" t="s">
        <v>14</v>
      </c>
      <c r="K877" s="7">
        <v>81.88</v>
      </c>
      <c r="L877" s="8">
        <v>2</v>
      </c>
      <c r="M877" s="9"/>
    </row>
    <row r="878" s="1" customFormat="1" ht="20.1" customHeight="1" spans="1:13">
      <c r="A878" s="4" t="str">
        <f>"37502022022610092618840"</f>
        <v>37502022022610092618840</v>
      </c>
      <c r="B878" s="4" t="s">
        <v>878</v>
      </c>
      <c r="C878" s="4" t="s">
        <v>881</v>
      </c>
      <c r="D878" s="4" t="str">
        <f>"20220133116"</f>
        <v>20220133116</v>
      </c>
      <c r="E878" s="4" t="str">
        <f t="shared" si="169"/>
        <v>31</v>
      </c>
      <c r="F878" s="4" t="str">
        <f>"16"</f>
        <v>16</v>
      </c>
      <c r="G878" s="5">
        <v>74.11</v>
      </c>
      <c r="H878" s="5" t="s">
        <v>14</v>
      </c>
      <c r="I878" s="5">
        <v>83</v>
      </c>
      <c r="J878" s="5" t="s">
        <v>14</v>
      </c>
      <c r="K878" s="7">
        <v>80.33</v>
      </c>
      <c r="L878" s="8">
        <v>3</v>
      </c>
      <c r="M878" s="9"/>
    </row>
    <row r="879" s="1" customFormat="1" ht="20.1" customHeight="1" spans="1:13">
      <c r="A879" s="4" t="str">
        <f>"37502022022611520919041"</f>
        <v>37502022022611520919041</v>
      </c>
      <c r="B879" s="4" t="s">
        <v>878</v>
      </c>
      <c r="C879" s="4" t="s">
        <v>882</v>
      </c>
      <c r="D879" s="4" t="str">
        <f>"20220133015"</f>
        <v>20220133015</v>
      </c>
      <c r="E879" s="4" t="str">
        <f t="shared" ref="E879:E882" si="170">"30"</f>
        <v>30</v>
      </c>
      <c r="F879" s="4" t="str">
        <f>"15"</f>
        <v>15</v>
      </c>
      <c r="G879" s="5">
        <v>73.53</v>
      </c>
      <c r="H879" s="5" t="s">
        <v>14</v>
      </c>
      <c r="I879" s="5">
        <v>82.8</v>
      </c>
      <c r="J879" s="5" t="s">
        <v>14</v>
      </c>
      <c r="K879" s="7">
        <v>80.02</v>
      </c>
      <c r="L879" s="8">
        <v>4</v>
      </c>
      <c r="M879" s="9"/>
    </row>
    <row r="880" s="1" customFormat="1" ht="20.1" customHeight="1" spans="1:13">
      <c r="A880" s="4" t="str">
        <f>"37502022030110401023428"</f>
        <v>37502022030110401023428</v>
      </c>
      <c r="B880" s="4" t="s">
        <v>878</v>
      </c>
      <c r="C880" s="4" t="s">
        <v>883</v>
      </c>
      <c r="D880" s="4" t="str">
        <f>"20220133029"</f>
        <v>20220133029</v>
      </c>
      <c r="E880" s="4" t="str">
        <f t="shared" si="170"/>
        <v>30</v>
      </c>
      <c r="F880" s="4" t="str">
        <f>"29"</f>
        <v>29</v>
      </c>
      <c r="G880" s="5">
        <v>73.26</v>
      </c>
      <c r="H880" s="5" t="s">
        <v>14</v>
      </c>
      <c r="I880" s="5">
        <v>82.9</v>
      </c>
      <c r="J880" s="5" t="s">
        <v>14</v>
      </c>
      <c r="K880" s="7">
        <v>80.01</v>
      </c>
      <c r="L880" s="8">
        <v>5</v>
      </c>
      <c r="M880" s="9"/>
    </row>
    <row r="881" s="1" customFormat="1" ht="20.1" customHeight="1" spans="1:13">
      <c r="A881" s="4" t="str">
        <f>"37502022030120084024421"</f>
        <v>37502022030120084024421</v>
      </c>
      <c r="B881" s="4" t="s">
        <v>878</v>
      </c>
      <c r="C881" s="4" t="s">
        <v>884</v>
      </c>
      <c r="D881" s="4" t="str">
        <f>"20220133025"</f>
        <v>20220133025</v>
      </c>
      <c r="E881" s="4" t="str">
        <f t="shared" si="170"/>
        <v>30</v>
      </c>
      <c r="F881" s="4" t="str">
        <f>"25"</f>
        <v>25</v>
      </c>
      <c r="G881" s="5">
        <v>70.63</v>
      </c>
      <c r="H881" s="5" t="s">
        <v>14</v>
      </c>
      <c r="I881" s="5">
        <v>83.4</v>
      </c>
      <c r="J881" s="5" t="s">
        <v>14</v>
      </c>
      <c r="K881" s="7">
        <v>79.57</v>
      </c>
      <c r="L881" s="8">
        <v>6</v>
      </c>
      <c r="M881" s="9"/>
    </row>
    <row r="882" s="1" customFormat="1" ht="20.1" customHeight="1" spans="1:13">
      <c r="A882" s="4" t="str">
        <f>"37502022022609413818768"</f>
        <v>37502022022609413818768</v>
      </c>
      <c r="B882" s="4" t="s">
        <v>878</v>
      </c>
      <c r="C882" s="4" t="s">
        <v>885</v>
      </c>
      <c r="D882" s="4" t="str">
        <f>"20220133023"</f>
        <v>20220133023</v>
      </c>
      <c r="E882" s="4" t="str">
        <f t="shared" si="170"/>
        <v>30</v>
      </c>
      <c r="F882" s="4" t="str">
        <f>"23"</f>
        <v>23</v>
      </c>
      <c r="G882" s="5">
        <v>79.45</v>
      </c>
      <c r="H882" s="5" t="s">
        <v>14</v>
      </c>
      <c r="I882" s="5">
        <v>79.6</v>
      </c>
      <c r="J882" s="5" t="s">
        <v>14</v>
      </c>
      <c r="K882" s="7">
        <v>79.56</v>
      </c>
      <c r="L882" s="8">
        <v>7</v>
      </c>
      <c r="M882" s="9"/>
    </row>
    <row r="883" s="1" customFormat="1" ht="20.1" customHeight="1" spans="1:13">
      <c r="A883" s="4" t="str">
        <f>"37502022022610110618854"</f>
        <v>37502022022610110618854</v>
      </c>
      <c r="B883" s="4" t="s">
        <v>878</v>
      </c>
      <c r="C883" s="4" t="s">
        <v>886</v>
      </c>
      <c r="D883" s="4" t="str">
        <f>"20220133122"</f>
        <v>20220133122</v>
      </c>
      <c r="E883" s="4" t="str">
        <f>"31"</f>
        <v>31</v>
      </c>
      <c r="F883" s="4" t="str">
        <f>"22"</f>
        <v>22</v>
      </c>
      <c r="G883" s="5">
        <v>79.04</v>
      </c>
      <c r="H883" s="5" t="s">
        <v>14</v>
      </c>
      <c r="I883" s="5">
        <v>78.5</v>
      </c>
      <c r="J883" s="5" t="s">
        <v>14</v>
      </c>
      <c r="K883" s="7">
        <v>78.66</v>
      </c>
      <c r="L883" s="8">
        <v>8</v>
      </c>
      <c r="M883" s="9"/>
    </row>
    <row r="884" s="1" customFormat="1" ht="20.1" customHeight="1" spans="1:13">
      <c r="A884" s="4" t="str">
        <f>"37502022022609322118727"</f>
        <v>37502022022609322118727</v>
      </c>
      <c r="B884" s="4" t="s">
        <v>878</v>
      </c>
      <c r="C884" s="4" t="s">
        <v>887</v>
      </c>
      <c r="D884" s="4" t="str">
        <f>"20220133024"</f>
        <v>20220133024</v>
      </c>
      <c r="E884" s="4" t="str">
        <f t="shared" ref="E884:E887" si="171">"30"</f>
        <v>30</v>
      </c>
      <c r="F884" s="4" t="str">
        <f>"24"</f>
        <v>24</v>
      </c>
      <c r="G884" s="5">
        <v>79.83</v>
      </c>
      <c r="H884" s="5" t="s">
        <v>14</v>
      </c>
      <c r="I884" s="5">
        <v>77</v>
      </c>
      <c r="J884" s="5" t="s">
        <v>14</v>
      </c>
      <c r="K884" s="7">
        <v>77.85</v>
      </c>
      <c r="L884" s="8">
        <v>9</v>
      </c>
      <c r="M884" s="9"/>
    </row>
    <row r="885" s="1" customFormat="1" ht="20.1" customHeight="1" spans="1:13">
      <c r="A885" s="4" t="str">
        <f>"37502022022608511118656"</f>
        <v>37502022022608511118656</v>
      </c>
      <c r="B885" s="4" t="s">
        <v>878</v>
      </c>
      <c r="C885" s="4" t="s">
        <v>888</v>
      </c>
      <c r="D885" s="4" t="str">
        <f>"20220133018"</f>
        <v>20220133018</v>
      </c>
      <c r="E885" s="4" t="str">
        <f t="shared" si="171"/>
        <v>30</v>
      </c>
      <c r="F885" s="4" t="str">
        <f>"18"</f>
        <v>18</v>
      </c>
      <c r="G885" s="5">
        <v>76.94</v>
      </c>
      <c r="H885" s="5" t="s">
        <v>14</v>
      </c>
      <c r="I885" s="5">
        <v>76.8</v>
      </c>
      <c r="J885" s="5" t="s">
        <v>14</v>
      </c>
      <c r="K885" s="7">
        <v>76.84</v>
      </c>
      <c r="L885" s="8">
        <v>10</v>
      </c>
      <c r="M885" s="9"/>
    </row>
    <row r="886" s="1" customFormat="1" ht="20.1" customHeight="1" spans="1:13">
      <c r="A886" s="4" t="str">
        <f>"37502022030112073623600"</f>
        <v>37502022030112073623600</v>
      </c>
      <c r="B886" s="4" t="s">
        <v>878</v>
      </c>
      <c r="C886" s="4" t="s">
        <v>889</v>
      </c>
      <c r="D886" s="4" t="str">
        <f>"20220133008"</f>
        <v>20220133008</v>
      </c>
      <c r="E886" s="4" t="str">
        <f t="shared" si="171"/>
        <v>30</v>
      </c>
      <c r="F886" s="4" t="str">
        <f>"08"</f>
        <v>08</v>
      </c>
      <c r="G886" s="5">
        <v>77.16</v>
      </c>
      <c r="H886" s="5" t="s">
        <v>14</v>
      </c>
      <c r="I886" s="5">
        <v>75</v>
      </c>
      <c r="J886" s="5" t="s">
        <v>14</v>
      </c>
      <c r="K886" s="7">
        <v>75.65</v>
      </c>
      <c r="L886" s="8">
        <v>11</v>
      </c>
      <c r="M886" s="9"/>
    </row>
    <row r="887" s="1" customFormat="1" ht="20.1" customHeight="1" spans="1:13">
      <c r="A887" s="4" t="str">
        <f>"37502022030118083124195"</f>
        <v>37502022030118083124195</v>
      </c>
      <c r="B887" s="4" t="s">
        <v>878</v>
      </c>
      <c r="C887" s="4" t="s">
        <v>890</v>
      </c>
      <c r="D887" s="4" t="str">
        <f>"20220133009"</f>
        <v>20220133009</v>
      </c>
      <c r="E887" s="4" t="str">
        <f t="shared" si="171"/>
        <v>30</v>
      </c>
      <c r="F887" s="4" t="str">
        <f>"09"</f>
        <v>09</v>
      </c>
      <c r="G887" s="5">
        <v>70.6</v>
      </c>
      <c r="H887" s="5" t="s">
        <v>14</v>
      </c>
      <c r="I887" s="5">
        <v>77.5</v>
      </c>
      <c r="J887" s="5" t="s">
        <v>14</v>
      </c>
      <c r="K887" s="7">
        <v>75.43</v>
      </c>
      <c r="L887" s="8">
        <v>12</v>
      </c>
      <c r="M887" s="9"/>
    </row>
    <row r="888" s="1" customFormat="1" ht="20.1" customHeight="1" spans="1:13">
      <c r="A888" s="4" t="str">
        <f>"37502022030122271724684"</f>
        <v>37502022030122271724684</v>
      </c>
      <c r="B888" s="4" t="s">
        <v>878</v>
      </c>
      <c r="C888" s="4" t="s">
        <v>891</v>
      </c>
      <c r="D888" s="4" t="str">
        <f>"20220133106"</f>
        <v>20220133106</v>
      </c>
      <c r="E888" s="4" t="str">
        <f t="shared" ref="E888:E892" si="172">"31"</f>
        <v>31</v>
      </c>
      <c r="F888" s="4" t="str">
        <f>"06"</f>
        <v>06</v>
      </c>
      <c r="G888" s="5">
        <v>72.42</v>
      </c>
      <c r="H888" s="5" t="s">
        <v>14</v>
      </c>
      <c r="I888" s="5">
        <v>76.7</v>
      </c>
      <c r="J888" s="5" t="s">
        <v>14</v>
      </c>
      <c r="K888" s="7">
        <v>75.42</v>
      </c>
      <c r="L888" s="8">
        <v>13</v>
      </c>
      <c r="M888" s="9"/>
    </row>
    <row r="889" s="1" customFormat="1" ht="20.1" customHeight="1" spans="1:13">
      <c r="A889" s="4" t="str">
        <f>"37502022022814445122327"</f>
        <v>37502022022814445122327</v>
      </c>
      <c r="B889" s="4" t="s">
        <v>878</v>
      </c>
      <c r="C889" s="4" t="s">
        <v>892</v>
      </c>
      <c r="D889" s="4" t="str">
        <f>"20220133017"</f>
        <v>20220133017</v>
      </c>
      <c r="E889" s="4" t="str">
        <f>"30"</f>
        <v>30</v>
      </c>
      <c r="F889" s="4" t="str">
        <f>"17"</f>
        <v>17</v>
      </c>
      <c r="G889" s="5">
        <v>74.28</v>
      </c>
      <c r="H889" s="5" t="s">
        <v>14</v>
      </c>
      <c r="I889" s="5">
        <v>75.1</v>
      </c>
      <c r="J889" s="5" t="s">
        <v>14</v>
      </c>
      <c r="K889" s="7">
        <v>74.85</v>
      </c>
      <c r="L889" s="8">
        <v>14</v>
      </c>
      <c r="M889" s="9"/>
    </row>
    <row r="890" s="1" customFormat="1" ht="20.1" customHeight="1" spans="1:13">
      <c r="A890" s="4" t="str">
        <f>"37502022030115192423903"</f>
        <v>37502022030115192423903</v>
      </c>
      <c r="B890" s="4" t="s">
        <v>878</v>
      </c>
      <c r="C890" s="4" t="s">
        <v>893</v>
      </c>
      <c r="D890" s="4" t="str">
        <f>"20220133115"</f>
        <v>20220133115</v>
      </c>
      <c r="E890" s="4" t="str">
        <f t="shared" si="172"/>
        <v>31</v>
      </c>
      <c r="F890" s="4" t="str">
        <f>"15"</f>
        <v>15</v>
      </c>
      <c r="G890" s="5">
        <v>81.99</v>
      </c>
      <c r="H890" s="5" t="s">
        <v>14</v>
      </c>
      <c r="I890" s="5">
        <v>71.5</v>
      </c>
      <c r="J890" s="5" t="s">
        <v>14</v>
      </c>
      <c r="K890" s="7">
        <v>74.65</v>
      </c>
      <c r="L890" s="8">
        <v>15</v>
      </c>
      <c r="M890" s="9"/>
    </row>
    <row r="891" s="1" customFormat="1" ht="20.1" customHeight="1" spans="1:13">
      <c r="A891" s="4" t="str">
        <f>"37502022030208000424810"</f>
        <v>37502022030208000424810</v>
      </c>
      <c r="B891" s="4" t="s">
        <v>878</v>
      </c>
      <c r="C891" s="4" t="s">
        <v>894</v>
      </c>
      <c r="D891" s="4" t="str">
        <f>"20220133111"</f>
        <v>20220133111</v>
      </c>
      <c r="E891" s="4" t="str">
        <f t="shared" si="172"/>
        <v>31</v>
      </c>
      <c r="F891" s="4" t="str">
        <f>"11"</f>
        <v>11</v>
      </c>
      <c r="G891" s="5">
        <v>75.4</v>
      </c>
      <c r="H891" s="5" t="s">
        <v>14</v>
      </c>
      <c r="I891" s="5">
        <v>73.3</v>
      </c>
      <c r="J891" s="5" t="s">
        <v>14</v>
      </c>
      <c r="K891" s="7">
        <v>73.93</v>
      </c>
      <c r="L891" s="8">
        <v>16</v>
      </c>
      <c r="M891" s="9"/>
    </row>
    <row r="892" s="1" customFormat="1" ht="20.1" customHeight="1" spans="1:13">
      <c r="A892" s="4" t="str">
        <f>"37502022022821105322994"</f>
        <v>37502022022821105322994</v>
      </c>
      <c r="B892" s="4" t="s">
        <v>878</v>
      </c>
      <c r="C892" s="4" t="s">
        <v>895</v>
      </c>
      <c r="D892" s="4" t="str">
        <f>"20220133124"</f>
        <v>20220133124</v>
      </c>
      <c r="E892" s="4" t="str">
        <f t="shared" si="172"/>
        <v>31</v>
      </c>
      <c r="F892" s="4" t="str">
        <f>"24"</f>
        <v>24</v>
      </c>
      <c r="G892" s="5">
        <v>66.94</v>
      </c>
      <c r="H892" s="5" t="s">
        <v>14</v>
      </c>
      <c r="I892" s="5">
        <v>76.1</v>
      </c>
      <c r="J892" s="5" t="s">
        <v>14</v>
      </c>
      <c r="K892" s="7">
        <v>73.35</v>
      </c>
      <c r="L892" s="8">
        <v>17</v>
      </c>
      <c r="M892" s="9"/>
    </row>
    <row r="893" s="1" customFormat="1" ht="20.1" customHeight="1" spans="1:13">
      <c r="A893" s="4" t="str">
        <f>"37502022022616022619353"</f>
        <v>37502022022616022619353</v>
      </c>
      <c r="B893" s="4" t="s">
        <v>878</v>
      </c>
      <c r="C893" s="4" t="s">
        <v>896</v>
      </c>
      <c r="D893" s="4" t="str">
        <f>"20220133010"</f>
        <v>20220133010</v>
      </c>
      <c r="E893" s="4" t="str">
        <f t="shared" ref="E893:E897" si="173">"30"</f>
        <v>30</v>
      </c>
      <c r="F893" s="4" t="str">
        <f>"10"</f>
        <v>10</v>
      </c>
      <c r="G893" s="5">
        <v>68.23</v>
      </c>
      <c r="H893" s="5" t="s">
        <v>14</v>
      </c>
      <c r="I893" s="5">
        <v>75.5</v>
      </c>
      <c r="J893" s="5" t="s">
        <v>14</v>
      </c>
      <c r="K893" s="7">
        <v>73.32</v>
      </c>
      <c r="L893" s="8">
        <v>18</v>
      </c>
      <c r="M893" s="9"/>
    </row>
    <row r="894" s="1" customFormat="1" ht="20.1" customHeight="1" spans="1:13">
      <c r="A894" s="4" t="str">
        <f>"37502022030220520225957"</f>
        <v>37502022030220520225957</v>
      </c>
      <c r="B894" s="4" t="s">
        <v>878</v>
      </c>
      <c r="C894" s="4" t="s">
        <v>897</v>
      </c>
      <c r="D894" s="4" t="str">
        <f>"20220133119"</f>
        <v>20220133119</v>
      </c>
      <c r="E894" s="4" t="str">
        <f t="shared" ref="E894:E899" si="174">"31"</f>
        <v>31</v>
      </c>
      <c r="F894" s="4" t="str">
        <f>"19"</f>
        <v>19</v>
      </c>
      <c r="G894" s="5">
        <v>74.01</v>
      </c>
      <c r="H894" s="5" t="s">
        <v>14</v>
      </c>
      <c r="I894" s="5">
        <v>70.2</v>
      </c>
      <c r="J894" s="5" t="s">
        <v>14</v>
      </c>
      <c r="K894" s="7">
        <v>71.34</v>
      </c>
      <c r="L894" s="8">
        <v>19</v>
      </c>
      <c r="M894" s="9"/>
    </row>
    <row r="895" s="1" customFormat="1" ht="20.1" customHeight="1" spans="1:13">
      <c r="A895" s="4" t="str">
        <f>"37502022022818201822833"</f>
        <v>37502022022818201822833</v>
      </c>
      <c r="B895" s="4" t="s">
        <v>878</v>
      </c>
      <c r="C895" s="4" t="s">
        <v>898</v>
      </c>
      <c r="D895" s="4" t="str">
        <f>"20220133005"</f>
        <v>20220133005</v>
      </c>
      <c r="E895" s="4" t="str">
        <f t="shared" si="173"/>
        <v>30</v>
      </c>
      <c r="F895" s="4" t="str">
        <f>"05"</f>
        <v>05</v>
      </c>
      <c r="G895" s="5">
        <v>65.82</v>
      </c>
      <c r="H895" s="5" t="s">
        <v>14</v>
      </c>
      <c r="I895" s="5">
        <v>73.6</v>
      </c>
      <c r="J895" s="5" t="s">
        <v>14</v>
      </c>
      <c r="K895" s="7">
        <v>71.27</v>
      </c>
      <c r="L895" s="8">
        <v>20</v>
      </c>
      <c r="M895" s="9"/>
    </row>
    <row r="896" s="1" customFormat="1" ht="20.1" customHeight="1" spans="1:13">
      <c r="A896" s="4" t="str">
        <f>"37502022022715134420313"</f>
        <v>37502022022715134420313</v>
      </c>
      <c r="B896" s="4" t="s">
        <v>878</v>
      </c>
      <c r="C896" s="4" t="s">
        <v>899</v>
      </c>
      <c r="D896" s="4" t="str">
        <f>"20220133022"</f>
        <v>20220133022</v>
      </c>
      <c r="E896" s="4" t="str">
        <f t="shared" si="173"/>
        <v>30</v>
      </c>
      <c r="F896" s="4" t="str">
        <f>"22"</f>
        <v>22</v>
      </c>
      <c r="G896" s="5">
        <v>67.5</v>
      </c>
      <c r="H896" s="5" t="s">
        <v>14</v>
      </c>
      <c r="I896" s="5">
        <v>72.7</v>
      </c>
      <c r="J896" s="5" t="s">
        <v>14</v>
      </c>
      <c r="K896" s="7">
        <v>71.14</v>
      </c>
      <c r="L896" s="8">
        <v>21</v>
      </c>
      <c r="M896" s="9"/>
    </row>
    <row r="897" s="1" customFormat="1" ht="20.1" customHeight="1" spans="1:13">
      <c r="A897" s="4" t="str">
        <f>"37502022030214080725354"</f>
        <v>37502022030214080725354</v>
      </c>
      <c r="B897" s="4" t="s">
        <v>878</v>
      </c>
      <c r="C897" s="4" t="s">
        <v>900</v>
      </c>
      <c r="D897" s="4" t="str">
        <f>"20220133021"</f>
        <v>20220133021</v>
      </c>
      <c r="E897" s="4" t="str">
        <f t="shared" si="173"/>
        <v>30</v>
      </c>
      <c r="F897" s="4" t="str">
        <f>"21"</f>
        <v>21</v>
      </c>
      <c r="G897" s="5">
        <v>69.36</v>
      </c>
      <c r="H897" s="5" t="s">
        <v>14</v>
      </c>
      <c r="I897" s="5">
        <v>71.5</v>
      </c>
      <c r="J897" s="5" t="s">
        <v>14</v>
      </c>
      <c r="K897" s="7">
        <v>70.86</v>
      </c>
      <c r="L897" s="8">
        <v>22</v>
      </c>
      <c r="M897" s="9"/>
    </row>
    <row r="898" s="1" customFormat="1" ht="20.1" customHeight="1" spans="1:13">
      <c r="A898" s="4" t="str">
        <f>"37502022030212562225249"</f>
        <v>37502022030212562225249</v>
      </c>
      <c r="B898" s="4" t="s">
        <v>878</v>
      </c>
      <c r="C898" s="4" t="s">
        <v>901</v>
      </c>
      <c r="D898" s="4" t="str">
        <f>"20220133120"</f>
        <v>20220133120</v>
      </c>
      <c r="E898" s="4" t="str">
        <f t="shared" si="174"/>
        <v>31</v>
      </c>
      <c r="F898" s="4" t="str">
        <f>"20"</f>
        <v>20</v>
      </c>
      <c r="G898" s="5">
        <v>69.55</v>
      </c>
      <c r="H898" s="5" t="s">
        <v>14</v>
      </c>
      <c r="I898" s="5">
        <v>70.9</v>
      </c>
      <c r="J898" s="5" t="s">
        <v>14</v>
      </c>
      <c r="K898" s="7">
        <v>70.5</v>
      </c>
      <c r="L898" s="8">
        <v>23</v>
      </c>
      <c r="M898" s="9"/>
    </row>
    <row r="899" s="1" customFormat="1" ht="20.1" customHeight="1" spans="1:13">
      <c r="A899" s="4" t="str">
        <f>"37502022022620264919616"</f>
        <v>37502022022620264919616</v>
      </c>
      <c r="B899" s="4" t="s">
        <v>878</v>
      </c>
      <c r="C899" s="4" t="s">
        <v>902</v>
      </c>
      <c r="D899" s="4" t="str">
        <f>"20220133105"</f>
        <v>20220133105</v>
      </c>
      <c r="E899" s="4" t="str">
        <f t="shared" si="174"/>
        <v>31</v>
      </c>
      <c r="F899" s="4" t="str">
        <f>"05"</f>
        <v>05</v>
      </c>
      <c r="G899" s="5">
        <v>67.78</v>
      </c>
      <c r="H899" s="5" t="s">
        <v>14</v>
      </c>
      <c r="I899" s="5">
        <v>71.4</v>
      </c>
      <c r="J899" s="5" t="s">
        <v>14</v>
      </c>
      <c r="K899" s="7">
        <v>70.31</v>
      </c>
      <c r="L899" s="8">
        <v>24</v>
      </c>
      <c r="M899" s="9"/>
    </row>
    <row r="900" s="1" customFormat="1" ht="20.1" customHeight="1" spans="1:13">
      <c r="A900" s="4" t="str">
        <f>"37502022030211442725150"</f>
        <v>37502022030211442725150</v>
      </c>
      <c r="B900" s="4" t="s">
        <v>878</v>
      </c>
      <c r="C900" s="4" t="s">
        <v>903</v>
      </c>
      <c r="D900" s="4" t="str">
        <f>"20220133007"</f>
        <v>20220133007</v>
      </c>
      <c r="E900" s="4" t="str">
        <f t="shared" ref="E900:E907" si="175">"30"</f>
        <v>30</v>
      </c>
      <c r="F900" s="4" t="str">
        <f>"07"</f>
        <v>07</v>
      </c>
      <c r="G900" s="5">
        <v>73.82</v>
      </c>
      <c r="H900" s="5" t="s">
        <v>14</v>
      </c>
      <c r="I900" s="5">
        <v>68.5</v>
      </c>
      <c r="J900" s="5" t="s">
        <v>14</v>
      </c>
      <c r="K900" s="7">
        <v>70.1</v>
      </c>
      <c r="L900" s="8">
        <v>25</v>
      </c>
      <c r="M900" s="9"/>
    </row>
    <row r="901" s="1" customFormat="1" ht="20.1" customHeight="1" spans="1:13">
      <c r="A901" s="4" t="str">
        <f>"37502022030113132423722"</f>
        <v>37502022030113132423722</v>
      </c>
      <c r="B901" s="4" t="s">
        <v>878</v>
      </c>
      <c r="C901" s="4" t="s">
        <v>904</v>
      </c>
      <c r="D901" s="4" t="str">
        <f>"20220133121"</f>
        <v>20220133121</v>
      </c>
      <c r="E901" s="4" t="str">
        <f>"31"</f>
        <v>31</v>
      </c>
      <c r="F901" s="4" t="str">
        <f>"21"</f>
        <v>21</v>
      </c>
      <c r="G901" s="5">
        <v>68.99</v>
      </c>
      <c r="H901" s="5" t="s">
        <v>14</v>
      </c>
      <c r="I901" s="5">
        <v>67.7</v>
      </c>
      <c r="J901" s="5" t="s">
        <v>14</v>
      </c>
      <c r="K901" s="7">
        <v>68.09</v>
      </c>
      <c r="L901" s="8">
        <v>26</v>
      </c>
      <c r="M901" s="9"/>
    </row>
    <row r="902" s="1" customFormat="1" ht="20.1" customHeight="1" spans="1:13">
      <c r="A902" s="4" t="str">
        <f>"37502022030118554824287"</f>
        <v>37502022030118554824287</v>
      </c>
      <c r="B902" s="4" t="s">
        <v>878</v>
      </c>
      <c r="C902" s="4" t="s">
        <v>905</v>
      </c>
      <c r="D902" s="4" t="str">
        <f>"20220133104"</f>
        <v>20220133104</v>
      </c>
      <c r="E902" s="4" t="str">
        <f>"31"</f>
        <v>31</v>
      </c>
      <c r="F902" s="4" t="str">
        <f>"04"</f>
        <v>04</v>
      </c>
      <c r="G902" s="5">
        <v>64.7</v>
      </c>
      <c r="H902" s="5" t="s">
        <v>14</v>
      </c>
      <c r="I902" s="5">
        <v>68.2</v>
      </c>
      <c r="J902" s="5" t="s">
        <v>14</v>
      </c>
      <c r="K902" s="7">
        <v>67.15</v>
      </c>
      <c r="L902" s="8">
        <v>27</v>
      </c>
      <c r="M902" s="9"/>
    </row>
    <row r="903" s="1" customFormat="1" ht="20.1" customHeight="1" spans="1:13">
      <c r="A903" s="4" t="str">
        <f>"37502022030118162524206"</f>
        <v>37502022030118162524206</v>
      </c>
      <c r="B903" s="4" t="s">
        <v>878</v>
      </c>
      <c r="C903" s="4" t="s">
        <v>906</v>
      </c>
      <c r="D903" s="4" t="str">
        <f>"20220133011"</f>
        <v>20220133011</v>
      </c>
      <c r="E903" s="4" t="str">
        <f t="shared" si="175"/>
        <v>30</v>
      </c>
      <c r="F903" s="4" t="str">
        <f>"11"</f>
        <v>11</v>
      </c>
      <c r="G903" s="5">
        <v>68.15</v>
      </c>
      <c r="H903" s="5" t="s">
        <v>14</v>
      </c>
      <c r="I903" s="5">
        <v>66.5</v>
      </c>
      <c r="J903" s="5" t="s">
        <v>14</v>
      </c>
      <c r="K903" s="7">
        <v>67</v>
      </c>
      <c r="L903" s="8">
        <v>28</v>
      </c>
      <c r="M903" s="9"/>
    </row>
    <row r="904" s="1" customFormat="1" ht="20.1" customHeight="1" spans="1:13">
      <c r="A904" s="4" t="str">
        <f>"37502022030218370925716"</f>
        <v>37502022030218370925716</v>
      </c>
      <c r="B904" s="4" t="s">
        <v>878</v>
      </c>
      <c r="C904" s="4" t="s">
        <v>907</v>
      </c>
      <c r="D904" s="4" t="str">
        <f>"20220133004"</f>
        <v>20220133004</v>
      </c>
      <c r="E904" s="4" t="str">
        <f t="shared" si="175"/>
        <v>30</v>
      </c>
      <c r="F904" s="4" t="str">
        <f>"04"</f>
        <v>04</v>
      </c>
      <c r="G904" s="5">
        <v>68.54</v>
      </c>
      <c r="H904" s="5" t="s">
        <v>14</v>
      </c>
      <c r="I904" s="5">
        <v>66.2</v>
      </c>
      <c r="J904" s="5" t="s">
        <v>14</v>
      </c>
      <c r="K904" s="7">
        <v>66.9</v>
      </c>
      <c r="L904" s="8">
        <v>29</v>
      </c>
      <c r="M904" s="9"/>
    </row>
    <row r="905" s="1" customFormat="1" ht="20.1" customHeight="1" spans="1:13">
      <c r="A905" s="4" t="str">
        <f>"37502022030121354224597"</f>
        <v>37502022030121354224597</v>
      </c>
      <c r="B905" s="4" t="s">
        <v>878</v>
      </c>
      <c r="C905" s="4" t="s">
        <v>908</v>
      </c>
      <c r="D905" s="4" t="str">
        <f>"20220133014"</f>
        <v>20220133014</v>
      </c>
      <c r="E905" s="4" t="str">
        <f t="shared" si="175"/>
        <v>30</v>
      </c>
      <c r="F905" s="4" t="str">
        <f>"14"</f>
        <v>14</v>
      </c>
      <c r="G905" s="5">
        <v>61.3</v>
      </c>
      <c r="H905" s="5" t="s">
        <v>14</v>
      </c>
      <c r="I905" s="5">
        <v>68.4</v>
      </c>
      <c r="J905" s="5" t="s">
        <v>14</v>
      </c>
      <c r="K905" s="7">
        <v>66.27</v>
      </c>
      <c r="L905" s="8">
        <v>30</v>
      </c>
      <c r="M905" s="9"/>
    </row>
    <row r="906" s="1" customFormat="1" ht="20.1" customHeight="1" spans="1:13">
      <c r="A906" s="4" t="str">
        <f>"37502022022814383022300"</f>
        <v>37502022022814383022300</v>
      </c>
      <c r="B906" s="4" t="s">
        <v>878</v>
      </c>
      <c r="C906" s="4" t="s">
        <v>909</v>
      </c>
      <c r="D906" s="4" t="str">
        <f>"20220133013"</f>
        <v>20220133013</v>
      </c>
      <c r="E906" s="4" t="str">
        <f t="shared" si="175"/>
        <v>30</v>
      </c>
      <c r="F906" s="4" t="str">
        <f>"13"</f>
        <v>13</v>
      </c>
      <c r="G906" s="5">
        <v>64.27</v>
      </c>
      <c r="H906" s="5" t="s">
        <v>14</v>
      </c>
      <c r="I906" s="5">
        <v>65.1</v>
      </c>
      <c r="J906" s="5" t="s">
        <v>14</v>
      </c>
      <c r="K906" s="7">
        <v>64.85</v>
      </c>
      <c r="L906" s="8">
        <v>31</v>
      </c>
      <c r="M906" s="9"/>
    </row>
    <row r="907" s="1" customFormat="1" ht="20.1" customHeight="1" spans="1:13">
      <c r="A907" s="4" t="str">
        <f>"37502022022821422523021"</f>
        <v>37502022022821422523021</v>
      </c>
      <c r="B907" s="4" t="s">
        <v>878</v>
      </c>
      <c r="C907" s="4" t="s">
        <v>910</v>
      </c>
      <c r="D907" s="4" t="str">
        <f>"20220133020"</f>
        <v>20220133020</v>
      </c>
      <c r="E907" s="4" t="str">
        <f t="shared" si="175"/>
        <v>30</v>
      </c>
      <c r="F907" s="4" t="str">
        <f>"20"</f>
        <v>20</v>
      </c>
      <c r="G907" s="5">
        <v>71.68</v>
      </c>
      <c r="H907" s="5" t="s">
        <v>14</v>
      </c>
      <c r="I907" s="5">
        <v>61.9</v>
      </c>
      <c r="J907" s="5" t="s">
        <v>14</v>
      </c>
      <c r="K907" s="7">
        <v>64.83</v>
      </c>
      <c r="L907" s="8">
        <v>32</v>
      </c>
      <c r="M907" s="9"/>
    </row>
    <row r="908" s="1" customFormat="1" ht="20.1" customHeight="1" spans="1:13">
      <c r="A908" s="4" t="str">
        <f>"37502022030212441225227"</f>
        <v>37502022030212441225227</v>
      </c>
      <c r="B908" s="4" t="s">
        <v>878</v>
      </c>
      <c r="C908" s="4" t="s">
        <v>911</v>
      </c>
      <c r="D908" s="4" t="str">
        <f>"20220133114"</f>
        <v>20220133114</v>
      </c>
      <c r="E908" s="4" t="str">
        <f t="shared" ref="E908:E911" si="176">"31"</f>
        <v>31</v>
      </c>
      <c r="F908" s="4" t="str">
        <f>"14"</f>
        <v>14</v>
      </c>
      <c r="G908" s="5">
        <v>67.9</v>
      </c>
      <c r="H908" s="5" t="s">
        <v>14</v>
      </c>
      <c r="I908" s="5">
        <v>61.7</v>
      </c>
      <c r="J908" s="5" t="s">
        <v>14</v>
      </c>
      <c r="K908" s="7">
        <v>63.56</v>
      </c>
      <c r="L908" s="8">
        <v>33</v>
      </c>
      <c r="M908" s="9"/>
    </row>
    <row r="909" s="1" customFormat="1" ht="20.1" customHeight="1" spans="1:13">
      <c r="A909" s="4" t="str">
        <f>"37502022030210194625009"</f>
        <v>37502022030210194625009</v>
      </c>
      <c r="B909" s="4" t="s">
        <v>878</v>
      </c>
      <c r="C909" s="4" t="s">
        <v>912</v>
      </c>
      <c r="D909" s="4" t="str">
        <f>"20220133117"</f>
        <v>20220133117</v>
      </c>
      <c r="E909" s="4" t="str">
        <f t="shared" si="176"/>
        <v>31</v>
      </c>
      <c r="F909" s="4" t="str">
        <f>"17"</f>
        <v>17</v>
      </c>
      <c r="G909" s="5">
        <v>64.75</v>
      </c>
      <c r="H909" s="5" t="s">
        <v>14</v>
      </c>
      <c r="I909" s="5">
        <v>62.7</v>
      </c>
      <c r="J909" s="5" t="s">
        <v>14</v>
      </c>
      <c r="K909" s="7">
        <v>63.32</v>
      </c>
      <c r="L909" s="8">
        <v>34</v>
      </c>
      <c r="M909" s="9"/>
    </row>
    <row r="910" s="1" customFormat="1" ht="20.1" customHeight="1" spans="1:13">
      <c r="A910" s="4" t="str">
        <f>"37502022030111555923586"</f>
        <v>37502022030111555923586</v>
      </c>
      <c r="B910" s="4" t="s">
        <v>878</v>
      </c>
      <c r="C910" s="4" t="s">
        <v>913</v>
      </c>
      <c r="D910" s="4" t="str">
        <f>"20220133103"</f>
        <v>20220133103</v>
      </c>
      <c r="E910" s="4" t="str">
        <f t="shared" si="176"/>
        <v>31</v>
      </c>
      <c r="F910" s="4" t="str">
        <f>"03"</f>
        <v>03</v>
      </c>
      <c r="G910" s="5">
        <v>55.07</v>
      </c>
      <c r="H910" s="5" t="s">
        <v>14</v>
      </c>
      <c r="I910" s="5">
        <v>65.9</v>
      </c>
      <c r="J910" s="5" t="s">
        <v>14</v>
      </c>
      <c r="K910" s="7">
        <v>62.65</v>
      </c>
      <c r="L910" s="8">
        <v>35</v>
      </c>
      <c r="M910" s="9"/>
    </row>
    <row r="911" s="1" customFormat="1" ht="20.1" customHeight="1" spans="1:13">
      <c r="A911" s="4" t="str">
        <f>"37502022022610162918881"</f>
        <v>37502022022610162918881</v>
      </c>
      <c r="B911" s="4" t="s">
        <v>878</v>
      </c>
      <c r="C911" s="4" t="s">
        <v>914</v>
      </c>
      <c r="D911" s="4" t="str">
        <f>"20220133123"</f>
        <v>20220133123</v>
      </c>
      <c r="E911" s="4" t="str">
        <f t="shared" si="176"/>
        <v>31</v>
      </c>
      <c r="F911" s="4" t="str">
        <f>"23"</f>
        <v>23</v>
      </c>
      <c r="G911" s="5">
        <v>0</v>
      </c>
      <c r="H911" s="5" t="s">
        <v>74</v>
      </c>
      <c r="I911" s="5">
        <v>0</v>
      </c>
      <c r="J911" s="5" t="s">
        <v>74</v>
      </c>
      <c r="K911" s="7">
        <v>0</v>
      </c>
      <c r="L911" s="8">
        <v>36</v>
      </c>
      <c r="M911" s="9"/>
    </row>
    <row r="912" s="1" customFormat="1" ht="20.1" customHeight="1" spans="1:13">
      <c r="A912" s="4" t="str">
        <f>"37502022022610171018890"</f>
        <v>37502022022610171018890</v>
      </c>
      <c r="B912" s="4" t="s">
        <v>878</v>
      </c>
      <c r="C912" s="4" t="s">
        <v>915</v>
      </c>
      <c r="D912" s="4" t="str">
        <f>"20220133030"</f>
        <v>20220133030</v>
      </c>
      <c r="E912" s="4" t="str">
        <f>"30"</f>
        <v>30</v>
      </c>
      <c r="F912" s="4" t="str">
        <f>"30"</f>
        <v>30</v>
      </c>
      <c r="G912" s="5">
        <v>0</v>
      </c>
      <c r="H912" s="5" t="s">
        <v>74</v>
      </c>
      <c r="I912" s="5">
        <v>0</v>
      </c>
      <c r="J912" s="5" t="s">
        <v>74</v>
      </c>
      <c r="K912" s="7">
        <v>0</v>
      </c>
      <c r="L912" s="8">
        <v>36</v>
      </c>
      <c r="M912" s="9"/>
    </row>
    <row r="913" s="1" customFormat="1" ht="20.1" customHeight="1" spans="1:13">
      <c r="A913" s="4" t="str">
        <f>"37502022022619221519552"</f>
        <v>37502022022619221519552</v>
      </c>
      <c r="B913" s="4" t="s">
        <v>878</v>
      </c>
      <c r="C913" s="4" t="s">
        <v>916</v>
      </c>
      <c r="D913" s="4" t="str">
        <f>"20220133026"</f>
        <v>20220133026</v>
      </c>
      <c r="E913" s="4" t="str">
        <f>"30"</f>
        <v>30</v>
      </c>
      <c r="F913" s="4" t="str">
        <f>"26"</f>
        <v>26</v>
      </c>
      <c r="G913" s="5">
        <v>0</v>
      </c>
      <c r="H913" s="5" t="s">
        <v>74</v>
      </c>
      <c r="I913" s="5">
        <v>0</v>
      </c>
      <c r="J913" s="5" t="s">
        <v>74</v>
      </c>
      <c r="K913" s="7">
        <v>0</v>
      </c>
      <c r="L913" s="8">
        <v>36</v>
      </c>
      <c r="M913" s="9"/>
    </row>
    <row r="914" s="1" customFormat="1" ht="20.1" customHeight="1" spans="1:13">
      <c r="A914" s="4" t="str">
        <f>"37502022022619362719562"</f>
        <v>37502022022619362719562</v>
      </c>
      <c r="B914" s="4" t="s">
        <v>878</v>
      </c>
      <c r="C914" s="4" t="s">
        <v>917</v>
      </c>
      <c r="D914" s="4" t="str">
        <f>"20220133101"</f>
        <v>20220133101</v>
      </c>
      <c r="E914" s="4" t="str">
        <f t="shared" ref="E914:E918" si="177">"31"</f>
        <v>31</v>
      </c>
      <c r="F914" s="4" t="str">
        <f>"01"</f>
        <v>01</v>
      </c>
      <c r="G914" s="5">
        <v>0</v>
      </c>
      <c r="H914" s="5" t="s">
        <v>74</v>
      </c>
      <c r="I914" s="5">
        <v>0</v>
      </c>
      <c r="J914" s="5" t="s">
        <v>74</v>
      </c>
      <c r="K914" s="7">
        <v>0</v>
      </c>
      <c r="L914" s="8">
        <v>36</v>
      </c>
      <c r="M914" s="9"/>
    </row>
    <row r="915" s="1" customFormat="1" ht="20.1" customHeight="1" spans="1:13">
      <c r="A915" s="4" t="str">
        <f>"37502022022714204620243"</f>
        <v>37502022022714204620243</v>
      </c>
      <c r="B915" s="4" t="s">
        <v>878</v>
      </c>
      <c r="C915" s="4" t="s">
        <v>918</v>
      </c>
      <c r="D915" s="4" t="str">
        <f>"20220133109"</f>
        <v>20220133109</v>
      </c>
      <c r="E915" s="4" t="str">
        <f t="shared" si="177"/>
        <v>31</v>
      </c>
      <c r="F915" s="4" t="str">
        <f>"09"</f>
        <v>09</v>
      </c>
      <c r="G915" s="5">
        <v>0</v>
      </c>
      <c r="H915" s="5" t="s">
        <v>74</v>
      </c>
      <c r="I915" s="5">
        <v>0</v>
      </c>
      <c r="J915" s="5" t="s">
        <v>74</v>
      </c>
      <c r="K915" s="7">
        <v>0</v>
      </c>
      <c r="L915" s="8">
        <v>36</v>
      </c>
      <c r="M915" s="9"/>
    </row>
    <row r="916" s="1" customFormat="1" ht="20.1" customHeight="1" spans="1:13">
      <c r="A916" s="4" t="str">
        <f>"37502022022715474220370"</f>
        <v>37502022022715474220370</v>
      </c>
      <c r="B916" s="4" t="s">
        <v>878</v>
      </c>
      <c r="C916" s="4" t="s">
        <v>919</v>
      </c>
      <c r="D916" s="4" t="str">
        <f>"20220133102"</f>
        <v>20220133102</v>
      </c>
      <c r="E916" s="4" t="str">
        <f t="shared" si="177"/>
        <v>31</v>
      </c>
      <c r="F916" s="4" t="str">
        <f>"02"</f>
        <v>02</v>
      </c>
      <c r="G916" s="5">
        <v>0</v>
      </c>
      <c r="H916" s="5" t="s">
        <v>74</v>
      </c>
      <c r="I916" s="5">
        <v>0</v>
      </c>
      <c r="J916" s="5" t="s">
        <v>74</v>
      </c>
      <c r="K916" s="7">
        <v>0</v>
      </c>
      <c r="L916" s="8">
        <v>36</v>
      </c>
      <c r="M916" s="9"/>
    </row>
    <row r="917" s="1" customFormat="1" ht="20.1" customHeight="1" spans="1:13">
      <c r="A917" s="4" t="str">
        <f>"37502022022717151920512"</f>
        <v>37502022022717151920512</v>
      </c>
      <c r="B917" s="4" t="s">
        <v>878</v>
      </c>
      <c r="C917" s="4" t="s">
        <v>920</v>
      </c>
      <c r="D917" s="4" t="str">
        <f>"20220133107"</f>
        <v>20220133107</v>
      </c>
      <c r="E917" s="4" t="str">
        <f t="shared" si="177"/>
        <v>31</v>
      </c>
      <c r="F917" s="4" t="str">
        <f>"07"</f>
        <v>07</v>
      </c>
      <c r="G917" s="5">
        <v>0</v>
      </c>
      <c r="H917" s="5" t="s">
        <v>74</v>
      </c>
      <c r="I917" s="5">
        <v>0</v>
      </c>
      <c r="J917" s="5" t="s">
        <v>74</v>
      </c>
      <c r="K917" s="7">
        <v>0</v>
      </c>
      <c r="L917" s="8">
        <v>36</v>
      </c>
      <c r="M917" s="9"/>
    </row>
    <row r="918" s="1" customFormat="1" ht="20.1" customHeight="1" spans="1:13">
      <c r="A918" s="4" t="str">
        <f>"37502022022812083921883"</f>
        <v>37502022022812083921883</v>
      </c>
      <c r="B918" s="4" t="s">
        <v>878</v>
      </c>
      <c r="C918" s="4" t="s">
        <v>921</v>
      </c>
      <c r="D918" s="4" t="str">
        <f>"20220133118"</f>
        <v>20220133118</v>
      </c>
      <c r="E918" s="4" t="str">
        <f t="shared" si="177"/>
        <v>31</v>
      </c>
      <c r="F918" s="4" t="str">
        <f>"18"</f>
        <v>18</v>
      </c>
      <c r="G918" s="5">
        <v>0</v>
      </c>
      <c r="H918" s="5" t="s">
        <v>74</v>
      </c>
      <c r="I918" s="5">
        <v>0</v>
      </c>
      <c r="J918" s="5" t="s">
        <v>74</v>
      </c>
      <c r="K918" s="7">
        <v>0</v>
      </c>
      <c r="L918" s="8">
        <v>36</v>
      </c>
      <c r="M918" s="9"/>
    </row>
    <row r="919" s="1" customFormat="1" ht="20.1" customHeight="1" spans="1:13">
      <c r="A919" s="4" t="str">
        <f>"37502022022815235722471"</f>
        <v>37502022022815235722471</v>
      </c>
      <c r="B919" s="4" t="s">
        <v>878</v>
      </c>
      <c r="C919" s="4" t="s">
        <v>922</v>
      </c>
      <c r="D919" s="4" t="str">
        <f>"20220133019"</f>
        <v>20220133019</v>
      </c>
      <c r="E919" s="4" t="str">
        <f t="shared" ref="E919:E923" si="178">"30"</f>
        <v>30</v>
      </c>
      <c r="F919" s="4" t="str">
        <f>"19"</f>
        <v>19</v>
      </c>
      <c r="G919" s="5">
        <v>0</v>
      </c>
      <c r="H919" s="5" t="s">
        <v>74</v>
      </c>
      <c r="I919" s="5">
        <v>0</v>
      </c>
      <c r="J919" s="5" t="s">
        <v>74</v>
      </c>
      <c r="K919" s="7">
        <v>0</v>
      </c>
      <c r="L919" s="8">
        <v>36</v>
      </c>
      <c r="M919" s="9"/>
    </row>
    <row r="920" s="1" customFormat="1" ht="20.1" customHeight="1" spans="1:13">
      <c r="A920" s="4" t="str">
        <f>"37502022022819530822920"</f>
        <v>37502022022819530822920</v>
      </c>
      <c r="B920" s="4" t="s">
        <v>878</v>
      </c>
      <c r="C920" s="4" t="s">
        <v>923</v>
      </c>
      <c r="D920" s="4" t="str">
        <f>"20220133016"</f>
        <v>20220133016</v>
      </c>
      <c r="E920" s="4" t="str">
        <f t="shared" si="178"/>
        <v>30</v>
      </c>
      <c r="F920" s="4" t="str">
        <f>"16"</f>
        <v>16</v>
      </c>
      <c r="G920" s="5">
        <v>0</v>
      </c>
      <c r="H920" s="5" t="s">
        <v>74</v>
      </c>
      <c r="I920" s="5">
        <v>0</v>
      </c>
      <c r="J920" s="5" t="s">
        <v>74</v>
      </c>
      <c r="K920" s="7">
        <v>0</v>
      </c>
      <c r="L920" s="8">
        <v>36</v>
      </c>
      <c r="M920" s="9"/>
    </row>
    <row r="921" s="1" customFormat="1" ht="20.1" customHeight="1" spans="1:13">
      <c r="A921" s="4" t="str">
        <f>"37502022022820011722930"</f>
        <v>37502022022820011722930</v>
      </c>
      <c r="B921" s="4" t="s">
        <v>878</v>
      </c>
      <c r="C921" s="4" t="s">
        <v>924</v>
      </c>
      <c r="D921" s="4" t="str">
        <f>"20220133012"</f>
        <v>20220133012</v>
      </c>
      <c r="E921" s="4" t="str">
        <f t="shared" si="178"/>
        <v>30</v>
      </c>
      <c r="F921" s="4" t="str">
        <f>"12"</f>
        <v>12</v>
      </c>
      <c r="G921" s="5">
        <v>0</v>
      </c>
      <c r="H921" s="5" t="s">
        <v>74</v>
      </c>
      <c r="I921" s="5">
        <v>0</v>
      </c>
      <c r="J921" s="5" t="s">
        <v>74</v>
      </c>
      <c r="K921" s="7">
        <v>0</v>
      </c>
      <c r="L921" s="8">
        <v>36</v>
      </c>
      <c r="M921" s="9"/>
    </row>
    <row r="922" s="1" customFormat="1" ht="20.1" customHeight="1" spans="1:13">
      <c r="A922" s="4" t="str">
        <f>"37502022030113172723736"</f>
        <v>37502022030113172723736</v>
      </c>
      <c r="B922" s="4" t="s">
        <v>878</v>
      </c>
      <c r="C922" s="4" t="s">
        <v>925</v>
      </c>
      <c r="D922" s="4" t="str">
        <f>"20220133027"</f>
        <v>20220133027</v>
      </c>
      <c r="E922" s="4" t="str">
        <f t="shared" si="178"/>
        <v>30</v>
      </c>
      <c r="F922" s="4" t="str">
        <f>"27"</f>
        <v>27</v>
      </c>
      <c r="G922" s="5">
        <v>0</v>
      </c>
      <c r="H922" s="5" t="s">
        <v>74</v>
      </c>
      <c r="I922" s="5">
        <v>0</v>
      </c>
      <c r="J922" s="5" t="s">
        <v>74</v>
      </c>
      <c r="K922" s="7">
        <v>0</v>
      </c>
      <c r="L922" s="8">
        <v>36</v>
      </c>
      <c r="M922" s="9"/>
    </row>
    <row r="923" s="1" customFormat="1" ht="20.1" customHeight="1" spans="1:13">
      <c r="A923" s="4" t="str">
        <f>"37502022030118063824190"</f>
        <v>37502022030118063824190</v>
      </c>
      <c r="B923" s="4" t="s">
        <v>878</v>
      </c>
      <c r="C923" s="4" t="s">
        <v>926</v>
      </c>
      <c r="D923" s="4" t="str">
        <f>"20220133006"</f>
        <v>20220133006</v>
      </c>
      <c r="E923" s="4" t="str">
        <f t="shared" si="178"/>
        <v>30</v>
      </c>
      <c r="F923" s="4" t="str">
        <f>"06"</f>
        <v>06</v>
      </c>
      <c r="G923" s="5">
        <v>0</v>
      </c>
      <c r="H923" s="5" t="s">
        <v>74</v>
      </c>
      <c r="I923" s="5">
        <v>0</v>
      </c>
      <c r="J923" s="5" t="s">
        <v>74</v>
      </c>
      <c r="K923" s="7">
        <v>0</v>
      </c>
      <c r="L923" s="8">
        <v>36</v>
      </c>
      <c r="M923" s="9"/>
    </row>
    <row r="924" s="1" customFormat="1" ht="20.1" customHeight="1" spans="1:13">
      <c r="A924" s="4" t="str">
        <f>"37502022030118252224225"</f>
        <v>37502022030118252224225</v>
      </c>
      <c r="B924" s="4" t="s">
        <v>878</v>
      </c>
      <c r="C924" s="4" t="s">
        <v>927</v>
      </c>
      <c r="D924" s="4" t="str">
        <f>"20220133112"</f>
        <v>20220133112</v>
      </c>
      <c r="E924" s="4" t="str">
        <f t="shared" ref="E924:E928" si="179">"31"</f>
        <v>31</v>
      </c>
      <c r="F924" s="4" t="str">
        <f>"12"</f>
        <v>12</v>
      </c>
      <c r="G924" s="5">
        <v>0</v>
      </c>
      <c r="H924" s="5" t="s">
        <v>74</v>
      </c>
      <c r="I924" s="5">
        <v>0</v>
      </c>
      <c r="J924" s="5" t="s">
        <v>74</v>
      </c>
      <c r="K924" s="7">
        <v>0</v>
      </c>
      <c r="L924" s="8">
        <v>36</v>
      </c>
      <c r="M924" s="9"/>
    </row>
    <row r="925" s="1" customFormat="1" ht="20.1" customHeight="1" spans="1:13">
      <c r="A925" s="4" t="str">
        <f>"37502022030121000924531"</f>
        <v>37502022030121000924531</v>
      </c>
      <c r="B925" s="4" t="s">
        <v>878</v>
      </c>
      <c r="C925" s="4" t="s">
        <v>928</v>
      </c>
      <c r="D925" s="4" t="str">
        <f>"20220133110"</f>
        <v>20220133110</v>
      </c>
      <c r="E925" s="4" t="str">
        <f t="shared" si="179"/>
        <v>31</v>
      </c>
      <c r="F925" s="4" t="str">
        <f>"10"</f>
        <v>10</v>
      </c>
      <c r="G925" s="5">
        <v>0</v>
      </c>
      <c r="H925" s="5" t="s">
        <v>74</v>
      </c>
      <c r="I925" s="5">
        <v>0</v>
      </c>
      <c r="J925" s="5" t="s">
        <v>74</v>
      </c>
      <c r="K925" s="7">
        <v>0</v>
      </c>
      <c r="L925" s="8">
        <v>36</v>
      </c>
      <c r="M925" s="9"/>
    </row>
    <row r="926" s="1" customFormat="1" ht="20.1" customHeight="1" spans="1:13">
      <c r="A926" s="4" t="str">
        <f>"37502022030122452024711"</f>
        <v>37502022030122452024711</v>
      </c>
      <c r="B926" s="4" t="s">
        <v>878</v>
      </c>
      <c r="C926" s="4" t="s">
        <v>929</v>
      </c>
      <c r="D926" s="4" t="str">
        <f>"20220133028"</f>
        <v>20220133028</v>
      </c>
      <c r="E926" s="4" t="str">
        <f>"30"</f>
        <v>30</v>
      </c>
      <c r="F926" s="4" t="str">
        <f>"28"</f>
        <v>28</v>
      </c>
      <c r="G926" s="5">
        <v>0</v>
      </c>
      <c r="H926" s="5" t="s">
        <v>74</v>
      </c>
      <c r="I926" s="5">
        <v>0</v>
      </c>
      <c r="J926" s="5" t="s">
        <v>74</v>
      </c>
      <c r="K926" s="7">
        <v>0</v>
      </c>
      <c r="L926" s="8">
        <v>36</v>
      </c>
      <c r="M926" s="9"/>
    </row>
    <row r="927" s="1" customFormat="1" ht="20.1" customHeight="1" spans="1:13">
      <c r="A927" s="4" t="str">
        <f>"37502022030213053525270"</f>
        <v>37502022030213053525270</v>
      </c>
      <c r="B927" s="4" t="s">
        <v>878</v>
      </c>
      <c r="C927" s="4" t="s">
        <v>930</v>
      </c>
      <c r="D927" s="4" t="str">
        <f>"20220133113"</f>
        <v>20220133113</v>
      </c>
      <c r="E927" s="4" t="str">
        <f t="shared" si="179"/>
        <v>31</v>
      </c>
      <c r="F927" s="4" t="str">
        <f>"13"</f>
        <v>13</v>
      </c>
      <c r="G927" s="5">
        <v>0</v>
      </c>
      <c r="H927" s="5" t="s">
        <v>74</v>
      </c>
      <c r="I927" s="5">
        <v>0</v>
      </c>
      <c r="J927" s="5" t="s">
        <v>74</v>
      </c>
      <c r="K927" s="7">
        <v>0</v>
      </c>
      <c r="L927" s="8">
        <v>36</v>
      </c>
      <c r="M927" s="9"/>
    </row>
    <row r="928" s="1" customFormat="1" ht="20.1" customHeight="1" spans="1:13">
      <c r="A928" s="4" t="str">
        <f>"37502022022610091818839"</f>
        <v>37502022022610091818839</v>
      </c>
      <c r="B928" s="4" t="s">
        <v>931</v>
      </c>
      <c r="C928" s="4" t="s">
        <v>932</v>
      </c>
      <c r="D928" s="4" t="str">
        <f>"20220143130"</f>
        <v>20220143130</v>
      </c>
      <c r="E928" s="4" t="str">
        <f t="shared" si="179"/>
        <v>31</v>
      </c>
      <c r="F928" s="4" t="str">
        <f>"30"</f>
        <v>30</v>
      </c>
      <c r="G928" s="5">
        <v>80.44</v>
      </c>
      <c r="H928" s="5" t="s">
        <v>14</v>
      </c>
      <c r="I928" s="5">
        <v>84.2</v>
      </c>
      <c r="J928" s="5" t="s">
        <v>14</v>
      </c>
      <c r="K928" s="7">
        <v>83.07</v>
      </c>
      <c r="L928" s="8">
        <v>1</v>
      </c>
      <c r="M928" s="9"/>
    </row>
    <row r="929" s="1" customFormat="1" ht="20.1" customHeight="1" spans="1:13">
      <c r="A929" s="4" t="str">
        <f>"37502022022610215718907"</f>
        <v>37502022022610215718907</v>
      </c>
      <c r="B929" s="4" t="s">
        <v>931</v>
      </c>
      <c r="C929" s="4" t="s">
        <v>933</v>
      </c>
      <c r="D929" s="4" t="str">
        <f>"20220143310"</f>
        <v>20220143310</v>
      </c>
      <c r="E929" s="4" t="str">
        <f>"33"</f>
        <v>33</v>
      </c>
      <c r="F929" s="4" t="str">
        <f>"10"</f>
        <v>10</v>
      </c>
      <c r="G929" s="5">
        <v>73.47</v>
      </c>
      <c r="H929" s="5" t="s">
        <v>14</v>
      </c>
      <c r="I929" s="5">
        <v>82.9</v>
      </c>
      <c r="J929" s="5" t="s">
        <v>14</v>
      </c>
      <c r="K929" s="7">
        <v>80.07</v>
      </c>
      <c r="L929" s="8">
        <v>2</v>
      </c>
      <c r="M929" s="9"/>
    </row>
    <row r="930" s="1" customFormat="1" ht="20.1" customHeight="1" spans="1:13">
      <c r="A930" s="4" t="str">
        <f>"37502022022807111621270"</f>
        <v>37502022022807111621270</v>
      </c>
      <c r="B930" s="4" t="s">
        <v>931</v>
      </c>
      <c r="C930" s="4" t="s">
        <v>934</v>
      </c>
      <c r="D930" s="4" t="str">
        <f>"20220143204"</f>
        <v>20220143204</v>
      </c>
      <c r="E930" s="4" t="str">
        <f t="shared" ref="E930:E933" si="180">"32"</f>
        <v>32</v>
      </c>
      <c r="F930" s="4" t="str">
        <f>"04"</f>
        <v>04</v>
      </c>
      <c r="G930" s="5">
        <v>77.21</v>
      </c>
      <c r="H930" s="5" t="s">
        <v>14</v>
      </c>
      <c r="I930" s="5">
        <v>81.2</v>
      </c>
      <c r="J930" s="5" t="s">
        <v>14</v>
      </c>
      <c r="K930" s="7">
        <v>80</v>
      </c>
      <c r="L930" s="8">
        <v>3</v>
      </c>
      <c r="M930" s="9"/>
    </row>
    <row r="931" s="1" customFormat="1" ht="20.1" customHeight="1" spans="1:13">
      <c r="A931" s="4" t="str">
        <f>"37502022022616121419364"</f>
        <v>37502022022616121419364</v>
      </c>
      <c r="B931" s="4" t="s">
        <v>931</v>
      </c>
      <c r="C931" s="4" t="s">
        <v>935</v>
      </c>
      <c r="D931" s="4" t="str">
        <f>"20220143230"</f>
        <v>20220143230</v>
      </c>
      <c r="E931" s="4" t="str">
        <f t="shared" si="180"/>
        <v>32</v>
      </c>
      <c r="F931" s="4" t="str">
        <f>"30"</f>
        <v>30</v>
      </c>
      <c r="G931" s="5">
        <v>73.01</v>
      </c>
      <c r="H931" s="5" t="s">
        <v>14</v>
      </c>
      <c r="I931" s="5">
        <v>78</v>
      </c>
      <c r="J931" s="5" t="s">
        <v>14</v>
      </c>
      <c r="K931" s="7">
        <v>76.5</v>
      </c>
      <c r="L931" s="8">
        <v>4</v>
      </c>
      <c r="M931" s="9"/>
    </row>
    <row r="932" s="1" customFormat="1" ht="20.1" customHeight="1" spans="1:13">
      <c r="A932" s="4" t="str">
        <f>"37502022022810352321640"</f>
        <v>37502022022810352321640</v>
      </c>
      <c r="B932" s="4" t="s">
        <v>931</v>
      </c>
      <c r="C932" s="4" t="s">
        <v>936</v>
      </c>
      <c r="D932" s="4" t="str">
        <f>"20220143219"</f>
        <v>20220143219</v>
      </c>
      <c r="E932" s="4" t="str">
        <f t="shared" si="180"/>
        <v>32</v>
      </c>
      <c r="F932" s="4" t="str">
        <f>"19"</f>
        <v>19</v>
      </c>
      <c r="G932" s="5">
        <v>77.28</v>
      </c>
      <c r="H932" s="5" t="s">
        <v>14</v>
      </c>
      <c r="I932" s="5">
        <v>75.2</v>
      </c>
      <c r="J932" s="5" t="s">
        <v>14</v>
      </c>
      <c r="K932" s="7">
        <v>75.82</v>
      </c>
      <c r="L932" s="8">
        <v>5</v>
      </c>
      <c r="M932" s="9"/>
    </row>
    <row r="933" s="1" customFormat="1" ht="20.1" customHeight="1" spans="1:13">
      <c r="A933" s="4" t="str">
        <f>"37502022030118360324246"</f>
        <v>37502022030118360324246</v>
      </c>
      <c r="B933" s="4" t="s">
        <v>931</v>
      </c>
      <c r="C933" s="4" t="s">
        <v>937</v>
      </c>
      <c r="D933" s="4" t="str">
        <f>"20220143210"</f>
        <v>20220143210</v>
      </c>
      <c r="E933" s="4" t="str">
        <f t="shared" si="180"/>
        <v>32</v>
      </c>
      <c r="F933" s="4" t="str">
        <f>"10"</f>
        <v>10</v>
      </c>
      <c r="G933" s="5">
        <v>73.32</v>
      </c>
      <c r="H933" s="5" t="s">
        <v>14</v>
      </c>
      <c r="I933" s="5">
        <v>76.6</v>
      </c>
      <c r="J933" s="5" t="s">
        <v>14</v>
      </c>
      <c r="K933" s="7">
        <v>75.62</v>
      </c>
      <c r="L933" s="8">
        <v>6</v>
      </c>
      <c r="M933" s="9"/>
    </row>
    <row r="934" s="1" customFormat="1" ht="20.1" customHeight="1" spans="1:13">
      <c r="A934" s="4" t="str">
        <f>"37502022030111595323592"</f>
        <v>37502022030111595323592</v>
      </c>
      <c r="B934" s="4" t="s">
        <v>931</v>
      </c>
      <c r="C934" s="4" t="s">
        <v>938</v>
      </c>
      <c r="D934" s="4" t="str">
        <f>"20220143127"</f>
        <v>20220143127</v>
      </c>
      <c r="E934" s="4" t="str">
        <f>"31"</f>
        <v>31</v>
      </c>
      <c r="F934" s="4" t="str">
        <f>"27"</f>
        <v>27</v>
      </c>
      <c r="G934" s="5">
        <v>76.53</v>
      </c>
      <c r="H934" s="5" t="s">
        <v>14</v>
      </c>
      <c r="I934" s="5">
        <v>75.1</v>
      </c>
      <c r="J934" s="5" t="s">
        <v>14</v>
      </c>
      <c r="K934" s="7">
        <v>75.53</v>
      </c>
      <c r="L934" s="8">
        <v>7</v>
      </c>
      <c r="M934" s="9"/>
    </row>
    <row r="935" s="1" customFormat="1" ht="20.1" customHeight="1" spans="1:13">
      <c r="A935" s="4" t="str">
        <f>"37502022022610113918861"</f>
        <v>37502022022610113918861</v>
      </c>
      <c r="B935" s="4" t="s">
        <v>931</v>
      </c>
      <c r="C935" s="4" t="s">
        <v>939</v>
      </c>
      <c r="D935" s="4" t="str">
        <f>"20220143315"</f>
        <v>20220143315</v>
      </c>
      <c r="E935" s="4" t="str">
        <f t="shared" ref="E935:E940" si="181">"33"</f>
        <v>33</v>
      </c>
      <c r="F935" s="4" t="str">
        <f>"15"</f>
        <v>15</v>
      </c>
      <c r="G935" s="5">
        <v>78.16</v>
      </c>
      <c r="H935" s="5" t="s">
        <v>14</v>
      </c>
      <c r="I935" s="5">
        <v>73.1</v>
      </c>
      <c r="J935" s="5" t="s">
        <v>14</v>
      </c>
      <c r="K935" s="7">
        <v>74.62</v>
      </c>
      <c r="L935" s="8">
        <v>8</v>
      </c>
      <c r="M935" s="9"/>
    </row>
    <row r="936" s="1" customFormat="1" ht="20.1" customHeight="1" spans="1:13">
      <c r="A936" s="4" t="str">
        <f>"37502022030120403324484"</f>
        <v>37502022030120403324484</v>
      </c>
      <c r="B936" s="4" t="s">
        <v>931</v>
      </c>
      <c r="C936" s="4" t="s">
        <v>940</v>
      </c>
      <c r="D936" s="4" t="str">
        <f>"20220143227"</f>
        <v>20220143227</v>
      </c>
      <c r="E936" s="4" t="str">
        <f t="shared" ref="E936:E938" si="182">"32"</f>
        <v>32</v>
      </c>
      <c r="F936" s="4" t="str">
        <f>"27"</f>
        <v>27</v>
      </c>
      <c r="G936" s="5">
        <v>70.28</v>
      </c>
      <c r="H936" s="5" t="s">
        <v>14</v>
      </c>
      <c r="I936" s="5">
        <v>75.2</v>
      </c>
      <c r="J936" s="5" t="s">
        <v>14</v>
      </c>
      <c r="K936" s="7">
        <v>73.72</v>
      </c>
      <c r="L936" s="8">
        <v>9</v>
      </c>
      <c r="M936" s="9"/>
    </row>
    <row r="937" s="1" customFormat="1" ht="20.1" customHeight="1" spans="1:13">
      <c r="A937" s="4" t="str">
        <f>"37502022030214104525361"</f>
        <v>37502022030214104525361</v>
      </c>
      <c r="B937" s="4" t="s">
        <v>931</v>
      </c>
      <c r="C937" s="4" t="s">
        <v>941</v>
      </c>
      <c r="D937" s="4" t="str">
        <f>"20220143216"</f>
        <v>20220143216</v>
      </c>
      <c r="E937" s="4" t="str">
        <f t="shared" si="182"/>
        <v>32</v>
      </c>
      <c r="F937" s="4" t="str">
        <f>"16"</f>
        <v>16</v>
      </c>
      <c r="G937" s="5">
        <v>75.73</v>
      </c>
      <c r="H937" s="5" t="s">
        <v>14</v>
      </c>
      <c r="I937" s="5">
        <v>72</v>
      </c>
      <c r="J937" s="5" t="s">
        <v>14</v>
      </c>
      <c r="K937" s="7">
        <v>73.12</v>
      </c>
      <c r="L937" s="8">
        <v>10</v>
      </c>
      <c r="M937" s="9"/>
    </row>
    <row r="938" s="1" customFormat="1" ht="20.1" customHeight="1" spans="1:13">
      <c r="A938" s="4" t="str">
        <f>"37502022030209481924957"</f>
        <v>37502022030209481924957</v>
      </c>
      <c r="B938" s="4" t="s">
        <v>931</v>
      </c>
      <c r="C938" s="4" t="s">
        <v>942</v>
      </c>
      <c r="D938" s="4" t="str">
        <f>"20220143222"</f>
        <v>20220143222</v>
      </c>
      <c r="E938" s="4" t="str">
        <f t="shared" si="182"/>
        <v>32</v>
      </c>
      <c r="F938" s="4" t="str">
        <f>"22"</f>
        <v>22</v>
      </c>
      <c r="G938" s="5">
        <v>71.47</v>
      </c>
      <c r="H938" s="5" t="s">
        <v>14</v>
      </c>
      <c r="I938" s="5">
        <v>73.6</v>
      </c>
      <c r="J938" s="5" t="s">
        <v>14</v>
      </c>
      <c r="K938" s="7">
        <v>72.96</v>
      </c>
      <c r="L938" s="8">
        <v>11</v>
      </c>
      <c r="M938" s="9"/>
    </row>
    <row r="939" s="1" customFormat="1" ht="20.1" customHeight="1" spans="1:13">
      <c r="A939" s="4" t="str">
        <f>"37502022030118015824183"</f>
        <v>37502022030118015824183</v>
      </c>
      <c r="B939" s="4" t="s">
        <v>931</v>
      </c>
      <c r="C939" s="4" t="s">
        <v>943</v>
      </c>
      <c r="D939" s="4" t="str">
        <f>"20220143318"</f>
        <v>20220143318</v>
      </c>
      <c r="E939" s="4" t="str">
        <f t="shared" si="181"/>
        <v>33</v>
      </c>
      <c r="F939" s="4" t="str">
        <f>"18"</f>
        <v>18</v>
      </c>
      <c r="G939" s="5">
        <v>71.72</v>
      </c>
      <c r="H939" s="5" t="s">
        <v>14</v>
      </c>
      <c r="I939" s="5">
        <v>72.4</v>
      </c>
      <c r="J939" s="5" t="s">
        <v>14</v>
      </c>
      <c r="K939" s="7">
        <v>72.2</v>
      </c>
      <c r="L939" s="8">
        <v>12</v>
      </c>
      <c r="M939" s="9"/>
    </row>
    <row r="940" s="1" customFormat="1" ht="20.1" customHeight="1" spans="1:13">
      <c r="A940" s="4" t="str">
        <f>"37502022022611415319030"</f>
        <v>37502022022611415319030</v>
      </c>
      <c r="B940" s="4" t="s">
        <v>931</v>
      </c>
      <c r="C940" s="4" t="s">
        <v>944</v>
      </c>
      <c r="D940" s="4" t="str">
        <f>"20220143311"</f>
        <v>20220143311</v>
      </c>
      <c r="E940" s="4" t="str">
        <f t="shared" si="181"/>
        <v>33</v>
      </c>
      <c r="F940" s="4" t="str">
        <f>"11"</f>
        <v>11</v>
      </c>
      <c r="G940" s="5">
        <v>69.59</v>
      </c>
      <c r="H940" s="5" t="s">
        <v>14</v>
      </c>
      <c r="I940" s="5">
        <v>72.6</v>
      </c>
      <c r="J940" s="5" t="s">
        <v>14</v>
      </c>
      <c r="K940" s="7">
        <v>71.7</v>
      </c>
      <c r="L940" s="8">
        <v>13</v>
      </c>
      <c r="M940" s="9"/>
    </row>
    <row r="941" s="1" customFormat="1" ht="20.1" customHeight="1" spans="1:13">
      <c r="A941" s="4" t="str">
        <f>"37502022022821183923001"</f>
        <v>37502022022821183923001</v>
      </c>
      <c r="B941" s="4" t="s">
        <v>931</v>
      </c>
      <c r="C941" s="4" t="s">
        <v>945</v>
      </c>
      <c r="D941" s="4" t="str">
        <f>"20220143225"</f>
        <v>20220143225</v>
      </c>
      <c r="E941" s="4" t="str">
        <f t="shared" ref="E941:E947" si="183">"32"</f>
        <v>32</v>
      </c>
      <c r="F941" s="4" t="str">
        <f>"25"</f>
        <v>25</v>
      </c>
      <c r="G941" s="5">
        <v>70.16</v>
      </c>
      <c r="H941" s="5" t="s">
        <v>14</v>
      </c>
      <c r="I941" s="5">
        <v>71.7</v>
      </c>
      <c r="J941" s="5" t="s">
        <v>14</v>
      </c>
      <c r="K941" s="7">
        <v>71.24</v>
      </c>
      <c r="L941" s="8">
        <v>14</v>
      </c>
      <c r="M941" s="9"/>
    </row>
    <row r="942" s="1" customFormat="1" ht="20.1" customHeight="1" spans="1:13">
      <c r="A942" s="4" t="str">
        <f>"37502022030123344824743"</f>
        <v>37502022030123344824743</v>
      </c>
      <c r="B942" s="4" t="s">
        <v>931</v>
      </c>
      <c r="C942" s="4" t="s">
        <v>946</v>
      </c>
      <c r="D942" s="4" t="str">
        <f>"20220143202"</f>
        <v>20220143202</v>
      </c>
      <c r="E942" s="4" t="str">
        <f t="shared" si="183"/>
        <v>32</v>
      </c>
      <c r="F942" s="4" t="str">
        <f>"02"</f>
        <v>02</v>
      </c>
      <c r="G942" s="5">
        <v>63.81</v>
      </c>
      <c r="H942" s="5" t="s">
        <v>14</v>
      </c>
      <c r="I942" s="5">
        <v>74.3</v>
      </c>
      <c r="J942" s="5" t="s">
        <v>14</v>
      </c>
      <c r="K942" s="7">
        <v>71.15</v>
      </c>
      <c r="L942" s="8">
        <v>15</v>
      </c>
      <c r="M942" s="9"/>
    </row>
    <row r="943" s="1" customFormat="1" ht="20.1" customHeight="1" spans="1:13">
      <c r="A943" s="4" t="str">
        <f>"37502022030116181824004"</f>
        <v>37502022030116181824004</v>
      </c>
      <c r="B943" s="4" t="s">
        <v>931</v>
      </c>
      <c r="C943" s="4" t="s">
        <v>947</v>
      </c>
      <c r="D943" s="4" t="str">
        <f>"20220143206"</f>
        <v>20220143206</v>
      </c>
      <c r="E943" s="4" t="str">
        <f t="shared" si="183"/>
        <v>32</v>
      </c>
      <c r="F943" s="4" t="str">
        <f>"06"</f>
        <v>06</v>
      </c>
      <c r="G943" s="5">
        <v>63.26</v>
      </c>
      <c r="H943" s="5" t="s">
        <v>14</v>
      </c>
      <c r="I943" s="5">
        <v>73.8</v>
      </c>
      <c r="J943" s="5" t="s">
        <v>14</v>
      </c>
      <c r="K943" s="7">
        <v>70.64</v>
      </c>
      <c r="L943" s="8">
        <v>16</v>
      </c>
      <c r="M943" s="9"/>
    </row>
    <row r="944" s="1" customFormat="1" ht="20.1" customHeight="1" spans="1:13">
      <c r="A944" s="4" t="str">
        <f>"37502022030111221923523"</f>
        <v>37502022030111221923523</v>
      </c>
      <c r="B944" s="4" t="s">
        <v>931</v>
      </c>
      <c r="C944" s="4" t="s">
        <v>948</v>
      </c>
      <c r="D944" s="4" t="str">
        <f>"20220143211"</f>
        <v>20220143211</v>
      </c>
      <c r="E944" s="4" t="str">
        <f t="shared" si="183"/>
        <v>32</v>
      </c>
      <c r="F944" s="4" t="str">
        <f>"11"</f>
        <v>11</v>
      </c>
      <c r="G944" s="5">
        <v>71.18</v>
      </c>
      <c r="H944" s="5" t="s">
        <v>14</v>
      </c>
      <c r="I944" s="5">
        <v>70.2</v>
      </c>
      <c r="J944" s="5" t="s">
        <v>14</v>
      </c>
      <c r="K944" s="7">
        <v>70.49</v>
      </c>
      <c r="L944" s="8">
        <v>17</v>
      </c>
      <c r="M944" s="9"/>
    </row>
    <row r="945" s="1" customFormat="1" ht="20.1" customHeight="1" spans="1:13">
      <c r="A945" s="4" t="str">
        <f>"37502022030118191624212"</f>
        <v>37502022030118191624212</v>
      </c>
      <c r="B945" s="4" t="s">
        <v>931</v>
      </c>
      <c r="C945" s="4" t="s">
        <v>949</v>
      </c>
      <c r="D945" s="4" t="str">
        <f>"20220143217"</f>
        <v>20220143217</v>
      </c>
      <c r="E945" s="4" t="str">
        <f t="shared" si="183"/>
        <v>32</v>
      </c>
      <c r="F945" s="4" t="str">
        <f>"17"</f>
        <v>17</v>
      </c>
      <c r="G945" s="5">
        <v>66.93</v>
      </c>
      <c r="H945" s="5" t="s">
        <v>14</v>
      </c>
      <c r="I945" s="5">
        <v>71.7</v>
      </c>
      <c r="J945" s="5" t="s">
        <v>14</v>
      </c>
      <c r="K945" s="7">
        <v>70.27</v>
      </c>
      <c r="L945" s="8">
        <v>18</v>
      </c>
      <c r="M945" s="9"/>
    </row>
    <row r="946" s="1" customFormat="1" ht="20.1" customHeight="1" spans="1:13">
      <c r="A946" s="4" t="str">
        <f>"37502022030120451424499"</f>
        <v>37502022030120451424499</v>
      </c>
      <c r="B946" s="4" t="s">
        <v>931</v>
      </c>
      <c r="C946" s="4" t="s">
        <v>950</v>
      </c>
      <c r="D946" s="4" t="str">
        <f>"20220143203"</f>
        <v>20220143203</v>
      </c>
      <c r="E946" s="4" t="str">
        <f t="shared" si="183"/>
        <v>32</v>
      </c>
      <c r="F946" s="4" t="str">
        <f>"03"</f>
        <v>03</v>
      </c>
      <c r="G946" s="5">
        <v>66.9</v>
      </c>
      <c r="H946" s="5" t="s">
        <v>14</v>
      </c>
      <c r="I946" s="5">
        <v>71.5</v>
      </c>
      <c r="J946" s="5" t="s">
        <v>14</v>
      </c>
      <c r="K946" s="7">
        <v>70.12</v>
      </c>
      <c r="L946" s="8">
        <v>19</v>
      </c>
      <c r="M946" s="9"/>
    </row>
    <row r="947" s="1" customFormat="1" ht="20.1" customHeight="1" spans="1:13">
      <c r="A947" s="4" t="str">
        <f>"37502022030112180723621"</f>
        <v>37502022030112180723621</v>
      </c>
      <c r="B947" s="4" t="s">
        <v>931</v>
      </c>
      <c r="C947" s="4" t="s">
        <v>951</v>
      </c>
      <c r="D947" s="4" t="str">
        <f>"20220143209"</f>
        <v>20220143209</v>
      </c>
      <c r="E947" s="4" t="str">
        <f t="shared" si="183"/>
        <v>32</v>
      </c>
      <c r="F947" s="4" t="str">
        <f>"09"</f>
        <v>09</v>
      </c>
      <c r="G947" s="5">
        <v>69.89</v>
      </c>
      <c r="H947" s="5" t="s">
        <v>14</v>
      </c>
      <c r="I947" s="5">
        <v>70.1</v>
      </c>
      <c r="J947" s="5" t="s">
        <v>14</v>
      </c>
      <c r="K947" s="7">
        <v>70.04</v>
      </c>
      <c r="L947" s="8">
        <v>20</v>
      </c>
      <c r="M947" s="9"/>
    </row>
    <row r="948" s="1" customFormat="1" ht="20.1" customHeight="1" spans="1:13">
      <c r="A948" s="4" t="str">
        <f>"37502022030218425525727"</f>
        <v>37502022030218425525727</v>
      </c>
      <c r="B948" s="4" t="s">
        <v>931</v>
      </c>
      <c r="C948" s="4" t="s">
        <v>952</v>
      </c>
      <c r="D948" s="4" t="str">
        <f>"20220143301"</f>
        <v>20220143301</v>
      </c>
      <c r="E948" s="4" t="str">
        <f t="shared" ref="E948:E952" si="184">"33"</f>
        <v>33</v>
      </c>
      <c r="F948" s="4" t="str">
        <f>"01"</f>
        <v>01</v>
      </c>
      <c r="G948" s="5">
        <v>70.04</v>
      </c>
      <c r="H948" s="5" t="s">
        <v>14</v>
      </c>
      <c r="I948" s="5">
        <v>70</v>
      </c>
      <c r="J948" s="5" t="s">
        <v>14</v>
      </c>
      <c r="K948" s="7">
        <v>70.01</v>
      </c>
      <c r="L948" s="8">
        <v>21</v>
      </c>
      <c r="M948" s="9"/>
    </row>
    <row r="949" s="1" customFormat="1" ht="20.1" customHeight="1" spans="1:13">
      <c r="A949" s="4" t="str">
        <f>"37502022030114292223834"</f>
        <v>37502022030114292223834</v>
      </c>
      <c r="B949" s="4" t="s">
        <v>931</v>
      </c>
      <c r="C949" s="4" t="s">
        <v>953</v>
      </c>
      <c r="D949" s="4" t="str">
        <f>"20220143223"</f>
        <v>20220143223</v>
      </c>
      <c r="E949" s="4" t="str">
        <f t="shared" ref="E949:E954" si="185">"32"</f>
        <v>32</v>
      </c>
      <c r="F949" s="4" t="str">
        <f>"23"</f>
        <v>23</v>
      </c>
      <c r="G949" s="5">
        <v>74.43</v>
      </c>
      <c r="H949" s="5" t="s">
        <v>14</v>
      </c>
      <c r="I949" s="5">
        <v>67.5</v>
      </c>
      <c r="J949" s="5" t="s">
        <v>14</v>
      </c>
      <c r="K949" s="7">
        <v>69.58</v>
      </c>
      <c r="L949" s="8">
        <v>22</v>
      </c>
      <c r="M949" s="9"/>
    </row>
    <row r="950" s="1" customFormat="1" ht="20.1" customHeight="1" spans="1:13">
      <c r="A950" s="4" t="str">
        <f>"37502022022816091322618"</f>
        <v>37502022022816091322618</v>
      </c>
      <c r="B950" s="4" t="s">
        <v>931</v>
      </c>
      <c r="C950" s="4" t="s">
        <v>954</v>
      </c>
      <c r="D950" s="4" t="str">
        <f>"20220143304"</f>
        <v>20220143304</v>
      </c>
      <c r="E950" s="4" t="str">
        <f t="shared" si="184"/>
        <v>33</v>
      </c>
      <c r="F950" s="4" t="str">
        <f>"04"</f>
        <v>04</v>
      </c>
      <c r="G950" s="5">
        <v>71.99</v>
      </c>
      <c r="H950" s="5" t="s">
        <v>14</v>
      </c>
      <c r="I950" s="5">
        <v>68.3</v>
      </c>
      <c r="J950" s="5" t="s">
        <v>14</v>
      </c>
      <c r="K950" s="7">
        <v>69.41</v>
      </c>
      <c r="L950" s="8">
        <v>23</v>
      </c>
      <c r="M950" s="9"/>
    </row>
    <row r="951" s="1" customFormat="1" ht="20.1" customHeight="1" spans="1:13">
      <c r="A951" s="4" t="str">
        <f>"37502022030113491623779"</f>
        <v>37502022030113491623779</v>
      </c>
      <c r="B951" s="4" t="s">
        <v>931</v>
      </c>
      <c r="C951" s="4" t="s">
        <v>200</v>
      </c>
      <c r="D951" s="4" t="str">
        <f>"20220143314"</f>
        <v>20220143314</v>
      </c>
      <c r="E951" s="4" t="str">
        <f t="shared" si="184"/>
        <v>33</v>
      </c>
      <c r="F951" s="4" t="str">
        <f>"14"</f>
        <v>14</v>
      </c>
      <c r="G951" s="5">
        <v>67.67</v>
      </c>
      <c r="H951" s="5" t="s">
        <v>14</v>
      </c>
      <c r="I951" s="5">
        <v>69.8</v>
      </c>
      <c r="J951" s="5" t="s">
        <v>14</v>
      </c>
      <c r="K951" s="7">
        <v>69.16</v>
      </c>
      <c r="L951" s="8">
        <v>24</v>
      </c>
      <c r="M951" s="9"/>
    </row>
    <row r="952" s="1" customFormat="1" ht="20.1" customHeight="1" spans="1:13">
      <c r="A952" s="4" t="str">
        <f>"37502022022608473918652"</f>
        <v>37502022022608473918652</v>
      </c>
      <c r="B952" s="4" t="s">
        <v>931</v>
      </c>
      <c r="C952" s="4" t="s">
        <v>955</v>
      </c>
      <c r="D952" s="4" t="str">
        <f>"20220143313"</f>
        <v>20220143313</v>
      </c>
      <c r="E952" s="4" t="str">
        <f t="shared" si="184"/>
        <v>33</v>
      </c>
      <c r="F952" s="4" t="str">
        <f>"13"</f>
        <v>13</v>
      </c>
      <c r="G952" s="5">
        <v>64.05</v>
      </c>
      <c r="H952" s="5" t="s">
        <v>14</v>
      </c>
      <c r="I952" s="5">
        <v>71.1</v>
      </c>
      <c r="J952" s="5" t="s">
        <v>14</v>
      </c>
      <c r="K952" s="7">
        <v>68.99</v>
      </c>
      <c r="L952" s="8">
        <v>25</v>
      </c>
      <c r="M952" s="9"/>
    </row>
    <row r="953" s="1" customFormat="1" ht="20.1" customHeight="1" spans="1:13">
      <c r="A953" s="4" t="str">
        <f>"37502022030116201624008"</f>
        <v>37502022030116201624008</v>
      </c>
      <c r="B953" s="4" t="s">
        <v>931</v>
      </c>
      <c r="C953" s="4" t="s">
        <v>956</v>
      </c>
      <c r="D953" s="4" t="str">
        <f>"20220143226"</f>
        <v>20220143226</v>
      </c>
      <c r="E953" s="4" t="str">
        <f t="shared" si="185"/>
        <v>32</v>
      </c>
      <c r="F953" s="4" t="str">
        <f>"26"</f>
        <v>26</v>
      </c>
      <c r="G953" s="5">
        <v>72.84</v>
      </c>
      <c r="H953" s="5" t="s">
        <v>14</v>
      </c>
      <c r="I953" s="5">
        <v>67.3</v>
      </c>
      <c r="J953" s="5" t="s">
        <v>14</v>
      </c>
      <c r="K953" s="7">
        <v>68.96</v>
      </c>
      <c r="L953" s="8">
        <v>26</v>
      </c>
      <c r="M953" s="9"/>
    </row>
    <row r="954" s="1" customFormat="1" ht="20.1" customHeight="1" spans="1:13">
      <c r="A954" s="4" t="str">
        <f>"37502022022610170218887"</f>
        <v>37502022022610170218887</v>
      </c>
      <c r="B954" s="4" t="s">
        <v>931</v>
      </c>
      <c r="C954" s="4" t="s">
        <v>957</v>
      </c>
      <c r="D954" s="4" t="str">
        <f>"20220143205"</f>
        <v>20220143205</v>
      </c>
      <c r="E954" s="4" t="str">
        <f t="shared" si="185"/>
        <v>32</v>
      </c>
      <c r="F954" s="4" t="str">
        <f>"05"</f>
        <v>05</v>
      </c>
      <c r="G954" s="5">
        <v>68.76</v>
      </c>
      <c r="H954" s="5" t="s">
        <v>14</v>
      </c>
      <c r="I954" s="5">
        <v>68.3</v>
      </c>
      <c r="J954" s="5" t="s">
        <v>14</v>
      </c>
      <c r="K954" s="7">
        <v>68.44</v>
      </c>
      <c r="L954" s="8">
        <v>27</v>
      </c>
      <c r="M954" s="9"/>
    </row>
    <row r="955" s="1" customFormat="1" ht="20.1" customHeight="1" spans="1:13">
      <c r="A955" s="4" t="str">
        <f>"37502022030122335924698"</f>
        <v>37502022030122335924698</v>
      </c>
      <c r="B955" s="4" t="s">
        <v>931</v>
      </c>
      <c r="C955" s="4" t="s">
        <v>958</v>
      </c>
      <c r="D955" s="4" t="str">
        <f>"20220143312"</f>
        <v>20220143312</v>
      </c>
      <c r="E955" s="4" t="str">
        <f t="shared" ref="E955:E957" si="186">"33"</f>
        <v>33</v>
      </c>
      <c r="F955" s="4" t="str">
        <f>"12"</f>
        <v>12</v>
      </c>
      <c r="G955" s="5">
        <v>61.64</v>
      </c>
      <c r="H955" s="5" t="s">
        <v>14</v>
      </c>
      <c r="I955" s="5">
        <v>67.5</v>
      </c>
      <c r="J955" s="5" t="s">
        <v>14</v>
      </c>
      <c r="K955" s="7">
        <v>65.74</v>
      </c>
      <c r="L955" s="8">
        <v>28</v>
      </c>
      <c r="M955" s="9"/>
    </row>
    <row r="956" s="1" customFormat="1" ht="20.1" customHeight="1" spans="1:13">
      <c r="A956" s="4" t="str">
        <f>"37502022030115451223946"</f>
        <v>37502022030115451223946</v>
      </c>
      <c r="B956" s="4" t="s">
        <v>931</v>
      </c>
      <c r="C956" s="4" t="s">
        <v>959</v>
      </c>
      <c r="D956" s="4" t="str">
        <f>"20220143309"</f>
        <v>20220143309</v>
      </c>
      <c r="E956" s="4" t="str">
        <f t="shared" si="186"/>
        <v>33</v>
      </c>
      <c r="F956" s="4" t="str">
        <f>"09"</f>
        <v>09</v>
      </c>
      <c r="G956" s="5">
        <v>67.84</v>
      </c>
      <c r="H956" s="5" t="s">
        <v>14</v>
      </c>
      <c r="I956" s="5">
        <v>64.7</v>
      </c>
      <c r="J956" s="5" t="s">
        <v>14</v>
      </c>
      <c r="K956" s="7">
        <v>65.64</v>
      </c>
      <c r="L956" s="8">
        <v>29</v>
      </c>
      <c r="M956" s="9"/>
    </row>
    <row r="957" s="1" customFormat="1" ht="20.1" customHeight="1" spans="1:13">
      <c r="A957" s="4" t="str">
        <f>"37502022022812171721907"</f>
        <v>37502022022812171721907</v>
      </c>
      <c r="B957" s="4" t="s">
        <v>931</v>
      </c>
      <c r="C957" s="4" t="s">
        <v>960</v>
      </c>
      <c r="D957" s="4" t="str">
        <f>"20220143316"</f>
        <v>20220143316</v>
      </c>
      <c r="E957" s="4" t="str">
        <f t="shared" si="186"/>
        <v>33</v>
      </c>
      <c r="F957" s="4" t="str">
        <f>"16"</f>
        <v>16</v>
      </c>
      <c r="G957" s="5">
        <v>66.65</v>
      </c>
      <c r="H957" s="5" t="s">
        <v>14</v>
      </c>
      <c r="I957" s="5">
        <v>62.3</v>
      </c>
      <c r="J957" s="5" t="s">
        <v>14</v>
      </c>
      <c r="K957" s="7">
        <v>63.61</v>
      </c>
      <c r="L957" s="8">
        <v>30</v>
      </c>
      <c r="M957" s="9"/>
    </row>
    <row r="958" s="1" customFormat="1" ht="20.1" customHeight="1" spans="1:13">
      <c r="A958" s="4" t="str">
        <f>"37502022022718190520576"</f>
        <v>37502022022718190520576</v>
      </c>
      <c r="B958" s="4" t="s">
        <v>931</v>
      </c>
      <c r="C958" s="4" t="s">
        <v>961</v>
      </c>
      <c r="D958" s="4" t="str">
        <f>"20220143221"</f>
        <v>20220143221</v>
      </c>
      <c r="E958" s="4" t="str">
        <f t="shared" ref="E958:E963" si="187">"32"</f>
        <v>32</v>
      </c>
      <c r="F958" s="4" t="str">
        <f>"21"</f>
        <v>21</v>
      </c>
      <c r="G958" s="5">
        <v>66.73</v>
      </c>
      <c r="H958" s="5" t="s">
        <v>14</v>
      </c>
      <c r="I958" s="5">
        <v>61.6</v>
      </c>
      <c r="J958" s="5" t="s">
        <v>14</v>
      </c>
      <c r="K958" s="7">
        <v>63.14</v>
      </c>
      <c r="L958" s="8">
        <v>31</v>
      </c>
      <c r="M958" s="9"/>
    </row>
    <row r="959" s="1" customFormat="1" ht="20.1" customHeight="1" spans="1:13">
      <c r="A959" s="4" t="str">
        <f>"37502022022716315120455"</f>
        <v>37502022022716315120455</v>
      </c>
      <c r="B959" s="4" t="s">
        <v>931</v>
      </c>
      <c r="C959" s="4" t="s">
        <v>962</v>
      </c>
      <c r="D959" s="4" t="str">
        <f>"20220143126"</f>
        <v>20220143126</v>
      </c>
      <c r="E959" s="4" t="str">
        <f>"31"</f>
        <v>31</v>
      </c>
      <c r="F959" s="4" t="str">
        <f>"26"</f>
        <v>26</v>
      </c>
      <c r="G959" s="5">
        <v>58.13</v>
      </c>
      <c r="H959" s="5" t="s">
        <v>14</v>
      </c>
      <c r="I959" s="5">
        <v>65.2</v>
      </c>
      <c r="J959" s="5" t="s">
        <v>14</v>
      </c>
      <c r="K959" s="7">
        <v>63.08</v>
      </c>
      <c r="L959" s="8">
        <v>32</v>
      </c>
      <c r="M959" s="9"/>
    </row>
    <row r="960" s="1" customFormat="1" ht="20.1" customHeight="1" spans="1:13">
      <c r="A960" s="4" t="str">
        <f>"37502022030109352723260"</f>
        <v>37502022030109352723260</v>
      </c>
      <c r="B960" s="4" t="s">
        <v>931</v>
      </c>
      <c r="C960" s="4" t="s">
        <v>963</v>
      </c>
      <c r="D960" s="4" t="str">
        <f>"20220143214"</f>
        <v>20220143214</v>
      </c>
      <c r="E960" s="4" t="str">
        <f t="shared" si="187"/>
        <v>32</v>
      </c>
      <c r="F960" s="4" t="str">
        <f>"14"</f>
        <v>14</v>
      </c>
      <c r="G960" s="5">
        <v>63.16</v>
      </c>
      <c r="H960" s="5" t="s">
        <v>14</v>
      </c>
      <c r="I960" s="5">
        <v>62.7</v>
      </c>
      <c r="J960" s="5" t="s">
        <v>14</v>
      </c>
      <c r="K960" s="7">
        <v>62.84</v>
      </c>
      <c r="L960" s="8">
        <v>33</v>
      </c>
      <c r="M960" s="9"/>
    </row>
    <row r="961" s="1" customFormat="1" ht="20.1" customHeight="1" spans="1:13">
      <c r="A961" s="4" t="str">
        <f>"37502022030117332524138"</f>
        <v>37502022030117332524138</v>
      </c>
      <c r="B961" s="4" t="s">
        <v>931</v>
      </c>
      <c r="C961" s="4" t="s">
        <v>964</v>
      </c>
      <c r="D961" s="4" t="str">
        <f>"20220143303"</f>
        <v>20220143303</v>
      </c>
      <c r="E961" s="4" t="str">
        <f t="shared" ref="E961:E966" si="188">"33"</f>
        <v>33</v>
      </c>
      <c r="F961" s="4" t="str">
        <f>"03"</f>
        <v>03</v>
      </c>
      <c r="G961" s="5">
        <v>68.73</v>
      </c>
      <c r="H961" s="5" t="s">
        <v>14</v>
      </c>
      <c r="I961" s="5">
        <v>57</v>
      </c>
      <c r="J961" s="5" t="s">
        <v>14</v>
      </c>
      <c r="K961" s="7">
        <v>60.52</v>
      </c>
      <c r="L961" s="8">
        <v>34</v>
      </c>
      <c r="M961" s="9"/>
    </row>
    <row r="962" s="1" customFormat="1" ht="20.1" customHeight="1" spans="1:13">
      <c r="A962" s="4" t="str">
        <f>"37502022030118195824214"</f>
        <v>37502022030118195824214</v>
      </c>
      <c r="B962" s="4" t="s">
        <v>931</v>
      </c>
      <c r="C962" s="4" t="s">
        <v>965</v>
      </c>
      <c r="D962" s="4" t="str">
        <f>"20220143228"</f>
        <v>20220143228</v>
      </c>
      <c r="E962" s="4" t="str">
        <f t="shared" si="187"/>
        <v>32</v>
      </c>
      <c r="F962" s="4" t="str">
        <f>"28"</f>
        <v>28</v>
      </c>
      <c r="G962" s="5">
        <v>60.53</v>
      </c>
      <c r="H962" s="5" t="s">
        <v>14</v>
      </c>
      <c r="I962" s="5">
        <v>36.9</v>
      </c>
      <c r="J962" s="5" t="s">
        <v>14</v>
      </c>
      <c r="K962" s="7">
        <v>43.99</v>
      </c>
      <c r="L962" s="8">
        <v>35</v>
      </c>
      <c r="M962" s="9"/>
    </row>
    <row r="963" s="1" customFormat="1" ht="20.1" customHeight="1" spans="1:13">
      <c r="A963" s="4" t="str">
        <f>"37502022022608022018609"</f>
        <v>37502022022608022018609</v>
      </c>
      <c r="B963" s="4" t="s">
        <v>931</v>
      </c>
      <c r="C963" s="4" t="s">
        <v>658</v>
      </c>
      <c r="D963" s="4" t="str">
        <f>"20220143207"</f>
        <v>20220143207</v>
      </c>
      <c r="E963" s="4" t="str">
        <f t="shared" si="187"/>
        <v>32</v>
      </c>
      <c r="F963" s="4" t="str">
        <f>"07"</f>
        <v>07</v>
      </c>
      <c r="G963" s="5">
        <v>0</v>
      </c>
      <c r="H963" s="5" t="s">
        <v>74</v>
      </c>
      <c r="I963" s="5">
        <v>0</v>
      </c>
      <c r="J963" s="5" t="s">
        <v>74</v>
      </c>
      <c r="K963" s="7">
        <v>0</v>
      </c>
      <c r="L963" s="8">
        <v>36</v>
      </c>
      <c r="M963" s="9"/>
    </row>
    <row r="964" s="1" customFormat="1" ht="20.1" customHeight="1" spans="1:13">
      <c r="A964" s="4" t="str">
        <f>"37502022022609460918787"</f>
        <v>37502022022609460918787</v>
      </c>
      <c r="B964" s="4" t="s">
        <v>931</v>
      </c>
      <c r="C964" s="4" t="s">
        <v>966</v>
      </c>
      <c r="D964" s="4" t="str">
        <f>"20220143317"</f>
        <v>20220143317</v>
      </c>
      <c r="E964" s="4" t="str">
        <f t="shared" si="188"/>
        <v>33</v>
      </c>
      <c r="F964" s="4" t="str">
        <f>"17"</f>
        <v>17</v>
      </c>
      <c r="G964" s="5">
        <v>0</v>
      </c>
      <c r="H964" s="5" t="s">
        <v>74</v>
      </c>
      <c r="I964" s="5">
        <v>0</v>
      </c>
      <c r="J964" s="5" t="s">
        <v>74</v>
      </c>
      <c r="K964" s="7">
        <v>0</v>
      </c>
      <c r="L964" s="8">
        <v>36</v>
      </c>
      <c r="M964" s="9"/>
    </row>
    <row r="965" s="1" customFormat="1" ht="20.1" customHeight="1" spans="1:13">
      <c r="A965" s="4" t="str">
        <f>"37502022022610170718889"</f>
        <v>37502022022610170718889</v>
      </c>
      <c r="B965" s="4" t="s">
        <v>931</v>
      </c>
      <c r="C965" s="4" t="s">
        <v>967</v>
      </c>
      <c r="D965" s="4" t="str">
        <f>"20220143215"</f>
        <v>20220143215</v>
      </c>
      <c r="E965" s="4" t="str">
        <f t="shared" ref="E965:E969" si="189">"32"</f>
        <v>32</v>
      </c>
      <c r="F965" s="4" t="str">
        <f>"15"</f>
        <v>15</v>
      </c>
      <c r="G965" s="5">
        <v>0</v>
      </c>
      <c r="H965" s="5" t="s">
        <v>74</v>
      </c>
      <c r="I965" s="5">
        <v>0</v>
      </c>
      <c r="J965" s="5" t="s">
        <v>74</v>
      </c>
      <c r="K965" s="7">
        <v>0</v>
      </c>
      <c r="L965" s="8">
        <v>36</v>
      </c>
      <c r="M965" s="9"/>
    </row>
    <row r="966" s="1" customFormat="1" ht="20.1" customHeight="1" spans="1:13">
      <c r="A966" s="4" t="str">
        <f>"37502022022613400619168"</f>
        <v>37502022022613400619168</v>
      </c>
      <c r="B966" s="4" t="s">
        <v>931</v>
      </c>
      <c r="C966" s="4" t="s">
        <v>968</v>
      </c>
      <c r="D966" s="4" t="str">
        <f>"20220143308"</f>
        <v>20220143308</v>
      </c>
      <c r="E966" s="4" t="str">
        <f t="shared" si="188"/>
        <v>33</v>
      </c>
      <c r="F966" s="4" t="str">
        <f>"08"</f>
        <v>08</v>
      </c>
      <c r="G966" s="5">
        <v>0</v>
      </c>
      <c r="H966" s="5" t="s">
        <v>74</v>
      </c>
      <c r="I966" s="5">
        <v>0</v>
      </c>
      <c r="J966" s="5" t="s">
        <v>74</v>
      </c>
      <c r="K966" s="7">
        <v>0</v>
      </c>
      <c r="L966" s="8">
        <v>36</v>
      </c>
      <c r="M966" s="9"/>
    </row>
    <row r="967" s="1" customFormat="1" ht="20.1" customHeight="1" spans="1:13">
      <c r="A967" s="4" t="str">
        <f>"37502022022617530319470"</f>
        <v>37502022022617530319470</v>
      </c>
      <c r="B967" s="4" t="s">
        <v>931</v>
      </c>
      <c r="C967" s="4" t="s">
        <v>969</v>
      </c>
      <c r="D967" s="4" t="str">
        <f>"20220143212"</f>
        <v>20220143212</v>
      </c>
      <c r="E967" s="4" t="str">
        <f t="shared" si="189"/>
        <v>32</v>
      </c>
      <c r="F967" s="4" t="str">
        <f>"12"</f>
        <v>12</v>
      </c>
      <c r="G967" s="5">
        <v>0</v>
      </c>
      <c r="H967" s="5" t="s">
        <v>74</v>
      </c>
      <c r="I967" s="5">
        <v>0</v>
      </c>
      <c r="J967" s="5" t="s">
        <v>74</v>
      </c>
      <c r="K967" s="7">
        <v>0</v>
      </c>
      <c r="L967" s="8">
        <v>36</v>
      </c>
      <c r="M967" s="9"/>
    </row>
    <row r="968" s="1" customFormat="1" ht="20.1" customHeight="1" spans="1:13">
      <c r="A968" s="4" t="str">
        <f>"37502022022619462119575"</f>
        <v>37502022022619462119575</v>
      </c>
      <c r="B968" s="4" t="s">
        <v>931</v>
      </c>
      <c r="C968" s="4" t="s">
        <v>970</v>
      </c>
      <c r="D968" s="4" t="str">
        <f>"20220143213"</f>
        <v>20220143213</v>
      </c>
      <c r="E968" s="4" t="str">
        <f t="shared" si="189"/>
        <v>32</v>
      </c>
      <c r="F968" s="4" t="str">
        <f>"13"</f>
        <v>13</v>
      </c>
      <c r="G968" s="5">
        <v>0</v>
      </c>
      <c r="H968" s="5" t="s">
        <v>74</v>
      </c>
      <c r="I968" s="5">
        <v>0</v>
      </c>
      <c r="J968" s="5" t="s">
        <v>74</v>
      </c>
      <c r="K968" s="7">
        <v>0</v>
      </c>
      <c r="L968" s="8">
        <v>36</v>
      </c>
      <c r="M968" s="9"/>
    </row>
    <row r="969" s="1" customFormat="1" ht="20.1" customHeight="1" spans="1:13">
      <c r="A969" s="4" t="str">
        <f>"37502022022721350620945"</f>
        <v>37502022022721350620945</v>
      </c>
      <c r="B969" s="4" t="s">
        <v>931</v>
      </c>
      <c r="C969" s="4" t="s">
        <v>971</v>
      </c>
      <c r="D969" s="4" t="str">
        <f>"20220143220"</f>
        <v>20220143220</v>
      </c>
      <c r="E969" s="4" t="str">
        <f t="shared" si="189"/>
        <v>32</v>
      </c>
      <c r="F969" s="4" t="str">
        <f>"20"</f>
        <v>20</v>
      </c>
      <c r="G969" s="5">
        <v>0</v>
      </c>
      <c r="H969" s="5" t="s">
        <v>74</v>
      </c>
      <c r="I969" s="5">
        <v>0</v>
      </c>
      <c r="J969" s="5" t="s">
        <v>74</v>
      </c>
      <c r="K969" s="7">
        <v>0</v>
      </c>
      <c r="L969" s="8">
        <v>36</v>
      </c>
      <c r="M969" s="9"/>
    </row>
    <row r="970" s="1" customFormat="1" ht="20.1" customHeight="1" spans="1:13">
      <c r="A970" s="4" t="str">
        <f>"37502022022812434621980"</f>
        <v>37502022022812434621980</v>
      </c>
      <c r="B970" s="4" t="s">
        <v>931</v>
      </c>
      <c r="C970" s="4" t="s">
        <v>972</v>
      </c>
      <c r="D970" s="4" t="str">
        <f>"20220143302"</f>
        <v>20220143302</v>
      </c>
      <c r="E970" s="4" t="str">
        <f>"33"</f>
        <v>33</v>
      </c>
      <c r="F970" s="4" t="str">
        <f>"02"</f>
        <v>02</v>
      </c>
      <c r="G970" s="5">
        <v>0</v>
      </c>
      <c r="H970" s="5" t="s">
        <v>74</v>
      </c>
      <c r="I970" s="5">
        <v>0</v>
      </c>
      <c r="J970" s="5" t="s">
        <v>74</v>
      </c>
      <c r="K970" s="7">
        <v>0</v>
      </c>
      <c r="L970" s="8">
        <v>36</v>
      </c>
      <c r="M970" s="9"/>
    </row>
    <row r="971" s="1" customFormat="1" ht="20.1" customHeight="1" spans="1:13">
      <c r="A971" s="4" t="str">
        <f>"37502022030100285623092"</f>
        <v>37502022030100285623092</v>
      </c>
      <c r="B971" s="4" t="s">
        <v>931</v>
      </c>
      <c r="C971" s="4" t="s">
        <v>554</v>
      </c>
      <c r="D971" s="4" t="str">
        <f>"20220143208"</f>
        <v>20220143208</v>
      </c>
      <c r="E971" s="4" t="str">
        <f t="shared" ref="E971:E976" si="190">"32"</f>
        <v>32</v>
      </c>
      <c r="F971" s="4" t="str">
        <f>"08"</f>
        <v>08</v>
      </c>
      <c r="G971" s="5">
        <v>0</v>
      </c>
      <c r="H971" s="5" t="s">
        <v>74</v>
      </c>
      <c r="I971" s="5">
        <v>0</v>
      </c>
      <c r="J971" s="5" t="s">
        <v>74</v>
      </c>
      <c r="K971" s="7">
        <v>0</v>
      </c>
      <c r="L971" s="8">
        <v>36</v>
      </c>
      <c r="M971" s="9"/>
    </row>
    <row r="972" s="1" customFormat="1" ht="20.1" customHeight="1" spans="1:13">
      <c r="A972" s="4" t="str">
        <f>"37502022030108374923137"</f>
        <v>37502022030108374923137</v>
      </c>
      <c r="B972" s="4" t="s">
        <v>931</v>
      </c>
      <c r="C972" s="4" t="s">
        <v>973</v>
      </c>
      <c r="D972" s="4" t="str">
        <f>"20220143129"</f>
        <v>20220143129</v>
      </c>
      <c r="E972" s="4" t="str">
        <f>"31"</f>
        <v>31</v>
      </c>
      <c r="F972" s="4" t="str">
        <f>"29"</f>
        <v>29</v>
      </c>
      <c r="G972" s="5">
        <v>0</v>
      </c>
      <c r="H972" s="5" t="s">
        <v>74</v>
      </c>
      <c r="I972" s="5">
        <v>0</v>
      </c>
      <c r="J972" s="5" t="s">
        <v>74</v>
      </c>
      <c r="K972" s="7">
        <v>0</v>
      </c>
      <c r="L972" s="8">
        <v>36</v>
      </c>
      <c r="M972" s="9"/>
    </row>
    <row r="973" s="1" customFormat="1" ht="20.1" customHeight="1" spans="1:13">
      <c r="A973" s="4" t="str">
        <f>"37502022030111465523570"</f>
        <v>37502022030111465523570</v>
      </c>
      <c r="B973" s="4" t="s">
        <v>931</v>
      </c>
      <c r="C973" s="4" t="s">
        <v>974</v>
      </c>
      <c r="D973" s="4" t="str">
        <f>"20220143128"</f>
        <v>20220143128</v>
      </c>
      <c r="E973" s="4" t="str">
        <f>"31"</f>
        <v>31</v>
      </c>
      <c r="F973" s="4" t="str">
        <f>"28"</f>
        <v>28</v>
      </c>
      <c r="G973" s="5">
        <v>0</v>
      </c>
      <c r="H973" s="5" t="s">
        <v>74</v>
      </c>
      <c r="I973" s="5">
        <v>0</v>
      </c>
      <c r="J973" s="5" t="s">
        <v>74</v>
      </c>
      <c r="K973" s="7">
        <v>0</v>
      </c>
      <c r="L973" s="8">
        <v>36</v>
      </c>
      <c r="M973" s="9"/>
    </row>
    <row r="974" s="1" customFormat="1" ht="20.1" customHeight="1" spans="1:13">
      <c r="A974" s="4" t="str">
        <f>"37502022030117591724181"</f>
        <v>37502022030117591724181</v>
      </c>
      <c r="B974" s="4" t="s">
        <v>931</v>
      </c>
      <c r="C974" s="4" t="s">
        <v>975</v>
      </c>
      <c r="D974" s="4" t="str">
        <f>"20220143229"</f>
        <v>20220143229</v>
      </c>
      <c r="E974" s="4" t="str">
        <f t="shared" si="190"/>
        <v>32</v>
      </c>
      <c r="F974" s="4" t="str">
        <f>"29"</f>
        <v>29</v>
      </c>
      <c r="G974" s="5">
        <v>0</v>
      </c>
      <c r="H974" s="5" t="s">
        <v>74</v>
      </c>
      <c r="I974" s="5">
        <v>0</v>
      </c>
      <c r="J974" s="5" t="s">
        <v>74</v>
      </c>
      <c r="K974" s="7">
        <v>0</v>
      </c>
      <c r="L974" s="8">
        <v>36</v>
      </c>
      <c r="M974" s="9"/>
    </row>
    <row r="975" s="1" customFormat="1" ht="20.1" customHeight="1" spans="1:13">
      <c r="A975" s="4" t="str">
        <f>"37502022030119283324356"</f>
        <v>37502022030119283324356</v>
      </c>
      <c r="B975" s="4" t="s">
        <v>931</v>
      </c>
      <c r="C975" s="4" t="s">
        <v>976</v>
      </c>
      <c r="D975" s="4" t="str">
        <f>"20220143218"</f>
        <v>20220143218</v>
      </c>
      <c r="E975" s="4" t="str">
        <f t="shared" si="190"/>
        <v>32</v>
      </c>
      <c r="F975" s="4" t="str">
        <f>"18"</f>
        <v>18</v>
      </c>
      <c r="G975" s="5">
        <v>0</v>
      </c>
      <c r="H975" s="5" t="s">
        <v>74</v>
      </c>
      <c r="I975" s="5">
        <v>0</v>
      </c>
      <c r="J975" s="5" t="s">
        <v>74</v>
      </c>
      <c r="K975" s="7">
        <v>0</v>
      </c>
      <c r="L975" s="8">
        <v>36</v>
      </c>
      <c r="M975" s="9"/>
    </row>
    <row r="976" s="1" customFormat="1" ht="20.1" customHeight="1" spans="1:13">
      <c r="A976" s="4" t="str">
        <f>"37502022030119475724396"</f>
        <v>37502022030119475724396</v>
      </c>
      <c r="B976" s="4" t="s">
        <v>931</v>
      </c>
      <c r="C976" s="4" t="s">
        <v>977</v>
      </c>
      <c r="D976" s="4" t="str">
        <f>"20220143201"</f>
        <v>20220143201</v>
      </c>
      <c r="E976" s="4" t="str">
        <f t="shared" si="190"/>
        <v>32</v>
      </c>
      <c r="F976" s="4" t="str">
        <f>"01"</f>
        <v>01</v>
      </c>
      <c r="G976" s="5">
        <v>0</v>
      </c>
      <c r="H976" s="5" t="s">
        <v>74</v>
      </c>
      <c r="I976" s="5">
        <v>0</v>
      </c>
      <c r="J976" s="5" t="s">
        <v>74</v>
      </c>
      <c r="K976" s="7">
        <v>0</v>
      </c>
      <c r="L976" s="8">
        <v>36</v>
      </c>
      <c r="M976" s="9"/>
    </row>
    <row r="977" s="1" customFormat="1" ht="20.1" customHeight="1" spans="1:13">
      <c r="A977" s="4" t="str">
        <f>"37502022030212435625226"</f>
        <v>37502022030212435625226</v>
      </c>
      <c r="B977" s="4" t="s">
        <v>931</v>
      </c>
      <c r="C977" s="4" t="s">
        <v>978</v>
      </c>
      <c r="D977" s="4" t="str">
        <f>"20220143307"</f>
        <v>20220143307</v>
      </c>
      <c r="E977" s="4" t="str">
        <f t="shared" ref="E977:E979" si="191">"33"</f>
        <v>33</v>
      </c>
      <c r="F977" s="4" t="str">
        <f>"07"</f>
        <v>07</v>
      </c>
      <c r="G977" s="5">
        <v>0</v>
      </c>
      <c r="H977" s="5" t="s">
        <v>74</v>
      </c>
      <c r="I977" s="5">
        <v>0</v>
      </c>
      <c r="J977" s="5" t="s">
        <v>74</v>
      </c>
      <c r="K977" s="7">
        <v>0</v>
      </c>
      <c r="L977" s="8">
        <v>36</v>
      </c>
      <c r="M977" s="9"/>
    </row>
    <row r="978" s="1" customFormat="1" ht="20.1" customHeight="1" spans="1:13">
      <c r="A978" s="4" t="str">
        <f>"37502022030216393525553"</f>
        <v>37502022030216393525553</v>
      </c>
      <c r="B978" s="4" t="s">
        <v>931</v>
      </c>
      <c r="C978" s="4" t="s">
        <v>979</v>
      </c>
      <c r="D978" s="4" t="str">
        <f>"20220143305"</f>
        <v>20220143305</v>
      </c>
      <c r="E978" s="4" t="str">
        <f t="shared" si="191"/>
        <v>33</v>
      </c>
      <c r="F978" s="4" t="str">
        <f>"05"</f>
        <v>05</v>
      </c>
      <c r="G978" s="5">
        <v>0</v>
      </c>
      <c r="H978" s="5" t="s">
        <v>74</v>
      </c>
      <c r="I978" s="5">
        <v>0</v>
      </c>
      <c r="J978" s="5" t="s">
        <v>74</v>
      </c>
      <c r="K978" s="7">
        <v>0</v>
      </c>
      <c r="L978" s="8">
        <v>36</v>
      </c>
      <c r="M978" s="9"/>
    </row>
    <row r="979" s="1" customFormat="1" ht="20.1" customHeight="1" spans="1:13">
      <c r="A979" s="4" t="str">
        <f>"37502022030218040325676"</f>
        <v>37502022030218040325676</v>
      </c>
      <c r="B979" s="4" t="s">
        <v>931</v>
      </c>
      <c r="C979" s="4" t="s">
        <v>980</v>
      </c>
      <c r="D979" s="4" t="str">
        <f>"20220143306"</f>
        <v>20220143306</v>
      </c>
      <c r="E979" s="4" t="str">
        <f t="shared" si="191"/>
        <v>33</v>
      </c>
      <c r="F979" s="4" t="str">
        <f>"06"</f>
        <v>06</v>
      </c>
      <c r="G979" s="5">
        <v>0</v>
      </c>
      <c r="H979" s="5" t="s">
        <v>74</v>
      </c>
      <c r="I979" s="5">
        <v>0</v>
      </c>
      <c r="J979" s="5" t="s">
        <v>74</v>
      </c>
      <c r="K979" s="7">
        <v>0</v>
      </c>
      <c r="L979" s="8">
        <v>36</v>
      </c>
      <c r="M979" s="9"/>
    </row>
    <row r="980" s="1" customFormat="1" ht="20.1" customHeight="1" spans="1:13">
      <c r="A980" s="4" t="str">
        <f>"37502022030219204625799"</f>
        <v>37502022030219204625799</v>
      </c>
      <c r="B980" s="4" t="s">
        <v>931</v>
      </c>
      <c r="C980" s="4" t="s">
        <v>981</v>
      </c>
      <c r="D980" s="4" t="str">
        <f>"20220143224"</f>
        <v>20220143224</v>
      </c>
      <c r="E980" s="4" t="str">
        <f>"32"</f>
        <v>32</v>
      </c>
      <c r="F980" s="4" t="str">
        <f>"24"</f>
        <v>24</v>
      </c>
      <c r="G980" s="5">
        <v>0</v>
      </c>
      <c r="H980" s="5" t="s">
        <v>74</v>
      </c>
      <c r="I980" s="5">
        <v>0</v>
      </c>
      <c r="J980" s="5" t="s">
        <v>74</v>
      </c>
      <c r="K980" s="7">
        <v>0</v>
      </c>
      <c r="L980" s="8">
        <v>36</v>
      </c>
      <c r="M980" s="9"/>
    </row>
    <row r="981" s="1" customFormat="1" ht="20.1" customHeight="1" spans="1:13">
      <c r="A981" s="4" t="str">
        <f>"37502022022610173418892"</f>
        <v>37502022022610173418892</v>
      </c>
      <c r="B981" s="4" t="s">
        <v>982</v>
      </c>
      <c r="C981" s="4" t="s">
        <v>983</v>
      </c>
      <c r="D981" s="4" t="str">
        <f>"20220153413"</f>
        <v>20220153413</v>
      </c>
      <c r="E981" s="4" t="str">
        <f t="shared" ref="E981:E985" si="192">"34"</f>
        <v>34</v>
      </c>
      <c r="F981" s="4" t="str">
        <f>"13"</f>
        <v>13</v>
      </c>
      <c r="G981" s="5">
        <v>69.78</v>
      </c>
      <c r="H981" s="5" t="s">
        <v>14</v>
      </c>
      <c r="I981" s="5">
        <v>87.9</v>
      </c>
      <c r="J981" s="5" t="s">
        <v>14</v>
      </c>
      <c r="K981" s="7">
        <v>82.46</v>
      </c>
      <c r="L981" s="8">
        <v>1</v>
      </c>
      <c r="M981" s="9"/>
    </row>
    <row r="982" s="1" customFormat="1" ht="20.1" customHeight="1" spans="1:13">
      <c r="A982" s="4" t="str">
        <f>"37502022022610105118852"</f>
        <v>37502022022610105118852</v>
      </c>
      <c r="B982" s="4" t="s">
        <v>982</v>
      </c>
      <c r="C982" s="4" t="s">
        <v>984</v>
      </c>
      <c r="D982" s="4" t="str">
        <f>"20220153326"</f>
        <v>20220153326</v>
      </c>
      <c r="E982" s="4" t="str">
        <f t="shared" ref="E982:E986" si="193">"33"</f>
        <v>33</v>
      </c>
      <c r="F982" s="4" t="str">
        <f>"26"</f>
        <v>26</v>
      </c>
      <c r="G982" s="5">
        <v>73.79</v>
      </c>
      <c r="H982" s="5" t="s">
        <v>14</v>
      </c>
      <c r="I982" s="5">
        <v>85.6</v>
      </c>
      <c r="J982" s="5" t="s">
        <v>14</v>
      </c>
      <c r="K982" s="7">
        <v>82.06</v>
      </c>
      <c r="L982" s="8">
        <v>2</v>
      </c>
      <c r="M982" s="9"/>
    </row>
    <row r="983" s="1" customFormat="1" ht="20.1" customHeight="1" spans="1:13">
      <c r="A983" s="4" t="str">
        <f>"37502022022610074618828"</f>
        <v>37502022022610074618828</v>
      </c>
      <c r="B983" s="4" t="s">
        <v>982</v>
      </c>
      <c r="C983" s="4" t="s">
        <v>985</v>
      </c>
      <c r="D983" s="4" t="str">
        <f>"20220153411"</f>
        <v>20220153411</v>
      </c>
      <c r="E983" s="4" t="str">
        <f t="shared" si="192"/>
        <v>34</v>
      </c>
      <c r="F983" s="4" t="str">
        <f>"11"</f>
        <v>11</v>
      </c>
      <c r="G983" s="5">
        <v>79.42</v>
      </c>
      <c r="H983" s="5" t="s">
        <v>14</v>
      </c>
      <c r="I983" s="5">
        <v>78.6</v>
      </c>
      <c r="J983" s="5" t="s">
        <v>14</v>
      </c>
      <c r="K983" s="7">
        <v>78.85</v>
      </c>
      <c r="L983" s="8">
        <v>3</v>
      </c>
      <c r="M983" s="9"/>
    </row>
    <row r="984" s="1" customFormat="1" ht="20.1" customHeight="1" spans="1:13">
      <c r="A984" s="4" t="str">
        <f>"37502022030222072726081"</f>
        <v>37502022030222072726081</v>
      </c>
      <c r="B984" s="4" t="s">
        <v>982</v>
      </c>
      <c r="C984" s="4" t="s">
        <v>986</v>
      </c>
      <c r="D984" s="4" t="str">
        <f>"20220153327"</f>
        <v>20220153327</v>
      </c>
      <c r="E984" s="4" t="str">
        <f t="shared" si="193"/>
        <v>33</v>
      </c>
      <c r="F984" s="4" t="str">
        <f>"27"</f>
        <v>27</v>
      </c>
      <c r="G984" s="5">
        <v>74.89</v>
      </c>
      <c r="H984" s="5" t="s">
        <v>14</v>
      </c>
      <c r="I984" s="5">
        <v>80.2</v>
      </c>
      <c r="J984" s="5" t="s">
        <v>14</v>
      </c>
      <c r="K984" s="7">
        <v>78.61</v>
      </c>
      <c r="L984" s="8">
        <v>4</v>
      </c>
      <c r="M984" s="9"/>
    </row>
    <row r="985" s="1" customFormat="1" ht="20.1" customHeight="1" spans="1:13">
      <c r="A985" s="4" t="str">
        <f>"37502022030119081124308"</f>
        <v>37502022030119081124308</v>
      </c>
      <c r="B985" s="4" t="s">
        <v>982</v>
      </c>
      <c r="C985" s="4" t="s">
        <v>352</v>
      </c>
      <c r="D985" s="4" t="str">
        <f>"20220153414"</f>
        <v>20220153414</v>
      </c>
      <c r="E985" s="4" t="str">
        <f t="shared" si="192"/>
        <v>34</v>
      </c>
      <c r="F985" s="4" t="str">
        <f>"14"</f>
        <v>14</v>
      </c>
      <c r="G985" s="5">
        <v>79.8</v>
      </c>
      <c r="H985" s="5" t="s">
        <v>14</v>
      </c>
      <c r="I985" s="5">
        <v>77.8</v>
      </c>
      <c r="J985" s="5" t="s">
        <v>14</v>
      </c>
      <c r="K985" s="7">
        <v>78.4</v>
      </c>
      <c r="L985" s="8">
        <v>5</v>
      </c>
      <c r="M985" s="9"/>
    </row>
    <row r="986" s="1" customFormat="1" ht="20.1" customHeight="1" spans="1:13">
      <c r="A986" s="4" t="str">
        <f>"37502022022808241221317"</f>
        <v>37502022022808241221317</v>
      </c>
      <c r="B986" s="4" t="s">
        <v>982</v>
      </c>
      <c r="C986" s="4" t="s">
        <v>987</v>
      </c>
      <c r="D986" s="4" t="str">
        <f>"20220153323"</f>
        <v>20220153323</v>
      </c>
      <c r="E986" s="4" t="str">
        <f t="shared" si="193"/>
        <v>33</v>
      </c>
      <c r="F986" s="4" t="str">
        <f>"23"</f>
        <v>23</v>
      </c>
      <c r="G986" s="5">
        <v>70.14</v>
      </c>
      <c r="H986" s="5" t="s">
        <v>14</v>
      </c>
      <c r="I986" s="5">
        <v>81.5</v>
      </c>
      <c r="J986" s="5" t="s">
        <v>14</v>
      </c>
      <c r="K986" s="7">
        <v>78.09</v>
      </c>
      <c r="L986" s="8">
        <v>6</v>
      </c>
      <c r="M986" s="9"/>
    </row>
    <row r="987" s="1" customFormat="1" ht="20.1" customHeight="1" spans="1:13">
      <c r="A987" s="4" t="str">
        <f>"37502022030221422026043"</f>
        <v>37502022030221422026043</v>
      </c>
      <c r="B987" s="4" t="s">
        <v>982</v>
      </c>
      <c r="C987" s="4" t="s">
        <v>988</v>
      </c>
      <c r="D987" s="4" t="str">
        <f>"20220153408"</f>
        <v>20220153408</v>
      </c>
      <c r="E987" s="4" t="str">
        <f t="shared" ref="E987:E992" si="194">"34"</f>
        <v>34</v>
      </c>
      <c r="F987" s="4" t="str">
        <f>"08"</f>
        <v>08</v>
      </c>
      <c r="G987" s="5">
        <v>70.26</v>
      </c>
      <c r="H987" s="5" t="s">
        <v>14</v>
      </c>
      <c r="I987" s="5">
        <v>79.4</v>
      </c>
      <c r="J987" s="5" t="s">
        <v>14</v>
      </c>
      <c r="K987" s="7">
        <v>76.66</v>
      </c>
      <c r="L987" s="8">
        <v>7</v>
      </c>
      <c r="M987" s="9"/>
    </row>
    <row r="988" s="1" customFormat="1" ht="20.1" customHeight="1" spans="1:13">
      <c r="A988" s="4" t="str">
        <f>"37502022030110084423342"</f>
        <v>37502022030110084423342</v>
      </c>
      <c r="B988" s="4" t="s">
        <v>982</v>
      </c>
      <c r="C988" s="4" t="s">
        <v>989</v>
      </c>
      <c r="D988" s="4" t="str">
        <f>"20220153406"</f>
        <v>20220153406</v>
      </c>
      <c r="E988" s="4" t="str">
        <f t="shared" si="194"/>
        <v>34</v>
      </c>
      <c r="F988" s="4" t="str">
        <f>"06"</f>
        <v>06</v>
      </c>
      <c r="G988" s="5">
        <v>79</v>
      </c>
      <c r="H988" s="5" t="s">
        <v>14</v>
      </c>
      <c r="I988" s="5">
        <v>75.6</v>
      </c>
      <c r="J988" s="5" t="s">
        <v>14</v>
      </c>
      <c r="K988" s="7">
        <v>76.62</v>
      </c>
      <c r="L988" s="8">
        <v>8</v>
      </c>
      <c r="M988" s="9"/>
    </row>
    <row r="989" s="1" customFormat="1" ht="20.1" customHeight="1" spans="1:13">
      <c r="A989" s="4" t="str">
        <f>"37502022022700024919833"</f>
        <v>37502022022700024919833</v>
      </c>
      <c r="B989" s="4" t="s">
        <v>982</v>
      </c>
      <c r="C989" s="4" t="s">
        <v>990</v>
      </c>
      <c r="D989" s="4" t="str">
        <f>"20220153410"</f>
        <v>20220153410</v>
      </c>
      <c r="E989" s="4" t="str">
        <f t="shared" si="194"/>
        <v>34</v>
      </c>
      <c r="F989" s="4" t="str">
        <f>"10"</f>
        <v>10</v>
      </c>
      <c r="G989" s="5">
        <v>74.31</v>
      </c>
      <c r="H989" s="5" t="s">
        <v>14</v>
      </c>
      <c r="I989" s="5">
        <v>74.8</v>
      </c>
      <c r="J989" s="5" t="s">
        <v>14</v>
      </c>
      <c r="K989" s="7">
        <v>74.65</v>
      </c>
      <c r="L989" s="8">
        <v>9</v>
      </c>
      <c r="M989" s="9"/>
    </row>
    <row r="990" s="1" customFormat="1" ht="20.1" customHeight="1" spans="1:13">
      <c r="A990" s="4" t="str">
        <f>"37502022022711394020032"</f>
        <v>37502022022711394020032</v>
      </c>
      <c r="B990" s="4" t="s">
        <v>982</v>
      </c>
      <c r="C990" s="4" t="s">
        <v>991</v>
      </c>
      <c r="D990" s="4" t="str">
        <f>"20220153419"</f>
        <v>20220153419</v>
      </c>
      <c r="E990" s="4" t="str">
        <f t="shared" si="194"/>
        <v>34</v>
      </c>
      <c r="F990" s="4" t="str">
        <f>"19"</f>
        <v>19</v>
      </c>
      <c r="G990" s="5">
        <v>70.49</v>
      </c>
      <c r="H990" s="5" t="s">
        <v>14</v>
      </c>
      <c r="I990" s="5">
        <v>74.5</v>
      </c>
      <c r="J990" s="5" t="s">
        <v>14</v>
      </c>
      <c r="K990" s="7">
        <v>73.3</v>
      </c>
      <c r="L990" s="8">
        <v>10</v>
      </c>
      <c r="M990" s="9"/>
    </row>
    <row r="991" s="1" customFormat="1" ht="20.1" customHeight="1" spans="1:13">
      <c r="A991" s="4" t="str">
        <f>"37502022030119132624321"</f>
        <v>37502022030119132624321</v>
      </c>
      <c r="B991" s="4" t="s">
        <v>982</v>
      </c>
      <c r="C991" s="4" t="s">
        <v>992</v>
      </c>
      <c r="D991" s="4" t="str">
        <f>"20220153401"</f>
        <v>20220153401</v>
      </c>
      <c r="E991" s="4" t="str">
        <f t="shared" si="194"/>
        <v>34</v>
      </c>
      <c r="F991" s="4" t="str">
        <f>"01"</f>
        <v>01</v>
      </c>
      <c r="G991" s="5">
        <v>68.7</v>
      </c>
      <c r="H991" s="5" t="s">
        <v>14</v>
      </c>
      <c r="I991" s="5">
        <v>74.7</v>
      </c>
      <c r="J991" s="5" t="s">
        <v>14</v>
      </c>
      <c r="K991" s="7">
        <v>72.9</v>
      </c>
      <c r="L991" s="8">
        <v>11</v>
      </c>
      <c r="M991" s="9"/>
    </row>
    <row r="992" s="1" customFormat="1" ht="20.1" customHeight="1" spans="1:13">
      <c r="A992" s="4" t="str">
        <f>"37502022030209114824893"</f>
        <v>37502022030209114824893</v>
      </c>
      <c r="B992" s="4" t="s">
        <v>982</v>
      </c>
      <c r="C992" s="4" t="s">
        <v>993</v>
      </c>
      <c r="D992" s="4" t="str">
        <f>"20220153405"</f>
        <v>20220153405</v>
      </c>
      <c r="E992" s="4" t="str">
        <f t="shared" si="194"/>
        <v>34</v>
      </c>
      <c r="F992" s="4" t="str">
        <f>"05"</f>
        <v>05</v>
      </c>
      <c r="G992" s="5">
        <v>72.13</v>
      </c>
      <c r="H992" s="5" t="s">
        <v>14</v>
      </c>
      <c r="I992" s="5">
        <v>72.4</v>
      </c>
      <c r="J992" s="5" t="s">
        <v>14</v>
      </c>
      <c r="K992" s="7">
        <v>72.32</v>
      </c>
      <c r="L992" s="8">
        <v>12</v>
      </c>
      <c r="M992" s="9"/>
    </row>
    <row r="993" s="1" customFormat="1" ht="20.1" customHeight="1" spans="1:13">
      <c r="A993" s="4" t="str">
        <f>"37502022030113135023726"</f>
        <v>37502022030113135023726</v>
      </c>
      <c r="B993" s="4" t="s">
        <v>982</v>
      </c>
      <c r="C993" s="4" t="s">
        <v>994</v>
      </c>
      <c r="D993" s="4" t="str">
        <f>"20220153322"</f>
        <v>20220153322</v>
      </c>
      <c r="E993" s="4" t="str">
        <f t="shared" ref="E993:E997" si="195">"33"</f>
        <v>33</v>
      </c>
      <c r="F993" s="4" t="str">
        <f>"22"</f>
        <v>22</v>
      </c>
      <c r="G993" s="5">
        <v>69.03</v>
      </c>
      <c r="H993" s="5" t="s">
        <v>14</v>
      </c>
      <c r="I993" s="5">
        <v>73.1</v>
      </c>
      <c r="J993" s="5" t="s">
        <v>14</v>
      </c>
      <c r="K993" s="7">
        <v>71.88</v>
      </c>
      <c r="L993" s="8">
        <v>13</v>
      </c>
      <c r="M993" s="9"/>
    </row>
    <row r="994" s="1" customFormat="1" ht="20.1" customHeight="1" spans="1:13">
      <c r="A994" s="4" t="str">
        <f>"37502022030110182323368"</f>
        <v>37502022030110182323368</v>
      </c>
      <c r="B994" s="4" t="s">
        <v>982</v>
      </c>
      <c r="C994" s="4" t="s">
        <v>995</v>
      </c>
      <c r="D994" s="4" t="str">
        <f>"20220153329"</f>
        <v>20220153329</v>
      </c>
      <c r="E994" s="4" t="str">
        <f t="shared" si="195"/>
        <v>33</v>
      </c>
      <c r="F994" s="4" t="str">
        <f>"29"</f>
        <v>29</v>
      </c>
      <c r="G994" s="5">
        <v>68.48</v>
      </c>
      <c r="H994" s="5" t="s">
        <v>14</v>
      </c>
      <c r="I994" s="5">
        <v>72.2</v>
      </c>
      <c r="J994" s="5" t="s">
        <v>14</v>
      </c>
      <c r="K994" s="7">
        <v>71.08</v>
      </c>
      <c r="L994" s="8">
        <v>14</v>
      </c>
      <c r="M994" s="9"/>
    </row>
    <row r="995" s="1" customFormat="1" ht="20.1" customHeight="1" spans="1:13">
      <c r="A995" s="4" t="str">
        <f>"37502022030114530523860"</f>
        <v>37502022030114530523860</v>
      </c>
      <c r="B995" s="4" t="s">
        <v>982</v>
      </c>
      <c r="C995" s="4" t="s">
        <v>996</v>
      </c>
      <c r="D995" s="4" t="str">
        <f>"20220153415"</f>
        <v>20220153415</v>
      </c>
      <c r="E995" s="4" t="str">
        <f t="shared" ref="E995:E1002" si="196">"34"</f>
        <v>34</v>
      </c>
      <c r="F995" s="4" t="str">
        <f>"15"</f>
        <v>15</v>
      </c>
      <c r="G995" s="5">
        <v>69.38</v>
      </c>
      <c r="H995" s="5" t="s">
        <v>14</v>
      </c>
      <c r="I995" s="5">
        <v>71.6</v>
      </c>
      <c r="J995" s="5" t="s">
        <v>14</v>
      </c>
      <c r="K995" s="7">
        <v>70.93</v>
      </c>
      <c r="L995" s="8">
        <v>15</v>
      </c>
      <c r="M995" s="9"/>
    </row>
    <row r="996" s="1" customFormat="1" ht="20.1" customHeight="1" spans="1:13">
      <c r="A996" s="4" t="str">
        <f>"37502022030115241323914"</f>
        <v>37502022030115241323914</v>
      </c>
      <c r="B996" s="4" t="s">
        <v>982</v>
      </c>
      <c r="C996" s="4" t="s">
        <v>997</v>
      </c>
      <c r="D996" s="4" t="str">
        <f>"20220153320"</f>
        <v>20220153320</v>
      </c>
      <c r="E996" s="4" t="str">
        <f t="shared" si="195"/>
        <v>33</v>
      </c>
      <c r="F996" s="4" t="str">
        <f>"20"</f>
        <v>20</v>
      </c>
      <c r="G996" s="5">
        <v>72.74</v>
      </c>
      <c r="H996" s="5" t="s">
        <v>14</v>
      </c>
      <c r="I996" s="5">
        <v>69.3</v>
      </c>
      <c r="J996" s="5" t="s">
        <v>14</v>
      </c>
      <c r="K996" s="7">
        <v>70.33</v>
      </c>
      <c r="L996" s="8">
        <v>16</v>
      </c>
      <c r="M996" s="9"/>
    </row>
    <row r="997" s="1" customFormat="1" ht="20.1" customHeight="1" spans="1:13">
      <c r="A997" s="4" t="str">
        <f>"37502022030209075424884"</f>
        <v>37502022030209075424884</v>
      </c>
      <c r="B997" s="4" t="s">
        <v>982</v>
      </c>
      <c r="C997" s="4" t="s">
        <v>998</v>
      </c>
      <c r="D997" s="4" t="str">
        <f>"20220153321"</f>
        <v>20220153321</v>
      </c>
      <c r="E997" s="4" t="str">
        <f t="shared" si="195"/>
        <v>33</v>
      </c>
      <c r="F997" s="4" t="str">
        <f>"21"</f>
        <v>21</v>
      </c>
      <c r="G997" s="5">
        <v>69.72</v>
      </c>
      <c r="H997" s="5" t="s">
        <v>14</v>
      </c>
      <c r="I997" s="5">
        <v>67.6</v>
      </c>
      <c r="J997" s="5" t="s">
        <v>14</v>
      </c>
      <c r="K997" s="7">
        <v>68.24</v>
      </c>
      <c r="L997" s="8">
        <v>17</v>
      </c>
      <c r="M997" s="9"/>
    </row>
    <row r="998" s="1" customFormat="1" ht="20.1" customHeight="1" spans="1:13">
      <c r="A998" s="4" t="str">
        <f>"37502022022609270818716"</f>
        <v>37502022022609270818716</v>
      </c>
      <c r="B998" s="4" t="s">
        <v>982</v>
      </c>
      <c r="C998" s="4" t="s">
        <v>999</v>
      </c>
      <c r="D998" s="4" t="str">
        <f>"20220153418"</f>
        <v>20220153418</v>
      </c>
      <c r="E998" s="4" t="str">
        <f t="shared" si="196"/>
        <v>34</v>
      </c>
      <c r="F998" s="4" t="str">
        <f>"18"</f>
        <v>18</v>
      </c>
      <c r="G998" s="5">
        <v>72.35</v>
      </c>
      <c r="H998" s="5" t="s">
        <v>14</v>
      </c>
      <c r="I998" s="5">
        <v>66.4</v>
      </c>
      <c r="J998" s="5" t="s">
        <v>14</v>
      </c>
      <c r="K998" s="7">
        <v>68.19</v>
      </c>
      <c r="L998" s="8">
        <v>18</v>
      </c>
      <c r="M998" s="9"/>
    </row>
    <row r="999" s="1" customFormat="1" ht="20.1" customHeight="1" spans="1:13">
      <c r="A999" s="4" t="str">
        <f>"37502022030115382623935"</f>
        <v>37502022030115382623935</v>
      </c>
      <c r="B999" s="4" t="s">
        <v>982</v>
      </c>
      <c r="C999" s="4" t="s">
        <v>1000</v>
      </c>
      <c r="D999" s="4" t="str">
        <f>"20220153402"</f>
        <v>20220153402</v>
      </c>
      <c r="E999" s="4" t="str">
        <f t="shared" si="196"/>
        <v>34</v>
      </c>
      <c r="F999" s="4" t="str">
        <f>"02"</f>
        <v>02</v>
      </c>
      <c r="G999" s="5">
        <v>65.7</v>
      </c>
      <c r="H999" s="5" t="s">
        <v>14</v>
      </c>
      <c r="I999" s="5">
        <v>68.2</v>
      </c>
      <c r="J999" s="5" t="s">
        <v>14</v>
      </c>
      <c r="K999" s="7">
        <v>67.45</v>
      </c>
      <c r="L999" s="8">
        <v>19</v>
      </c>
      <c r="M999" s="9"/>
    </row>
    <row r="1000" s="1" customFormat="1" ht="20.1" customHeight="1" spans="1:13">
      <c r="A1000" s="4" t="str">
        <f>"37502022030109564323315"</f>
        <v>37502022030109564323315</v>
      </c>
      <c r="B1000" s="4" t="s">
        <v>982</v>
      </c>
      <c r="C1000" s="4" t="s">
        <v>1001</v>
      </c>
      <c r="D1000" s="4" t="str">
        <f>"20220153416"</f>
        <v>20220153416</v>
      </c>
      <c r="E1000" s="4" t="str">
        <f t="shared" si="196"/>
        <v>34</v>
      </c>
      <c r="F1000" s="4" t="str">
        <f>"16"</f>
        <v>16</v>
      </c>
      <c r="G1000" s="5">
        <v>68.06</v>
      </c>
      <c r="H1000" s="5" t="s">
        <v>14</v>
      </c>
      <c r="I1000" s="5">
        <v>66.7</v>
      </c>
      <c r="J1000" s="5" t="s">
        <v>14</v>
      </c>
      <c r="K1000" s="7">
        <v>67.11</v>
      </c>
      <c r="L1000" s="8">
        <v>20</v>
      </c>
      <c r="M1000" s="9"/>
    </row>
    <row r="1001" s="1" customFormat="1" ht="20.1" customHeight="1" spans="1:13">
      <c r="A1001" s="4" t="str">
        <f>"37502022030120470524506"</f>
        <v>37502022030120470524506</v>
      </c>
      <c r="B1001" s="4" t="s">
        <v>982</v>
      </c>
      <c r="C1001" s="4" t="s">
        <v>1002</v>
      </c>
      <c r="D1001" s="4" t="str">
        <f>"20220153422"</f>
        <v>20220153422</v>
      </c>
      <c r="E1001" s="4" t="str">
        <f t="shared" si="196"/>
        <v>34</v>
      </c>
      <c r="F1001" s="4" t="str">
        <f>"22"</f>
        <v>22</v>
      </c>
      <c r="G1001" s="5">
        <v>66.06</v>
      </c>
      <c r="H1001" s="5" t="s">
        <v>14</v>
      </c>
      <c r="I1001" s="5">
        <v>67.5</v>
      </c>
      <c r="J1001" s="5" t="s">
        <v>14</v>
      </c>
      <c r="K1001" s="7">
        <v>67.07</v>
      </c>
      <c r="L1001" s="8">
        <v>21</v>
      </c>
      <c r="M1001" s="9"/>
    </row>
    <row r="1002" s="1" customFormat="1" ht="20.1" customHeight="1" spans="1:13">
      <c r="A1002" s="4" t="str">
        <f>"37502022022719040420627"</f>
        <v>37502022022719040420627</v>
      </c>
      <c r="B1002" s="4" t="s">
        <v>982</v>
      </c>
      <c r="C1002" s="4" t="s">
        <v>1003</v>
      </c>
      <c r="D1002" s="4" t="str">
        <f>"20220153403"</f>
        <v>20220153403</v>
      </c>
      <c r="E1002" s="4" t="str">
        <f t="shared" si="196"/>
        <v>34</v>
      </c>
      <c r="F1002" s="4" t="str">
        <f>"03"</f>
        <v>03</v>
      </c>
      <c r="G1002" s="5">
        <v>67.15</v>
      </c>
      <c r="H1002" s="5" t="s">
        <v>14</v>
      </c>
      <c r="I1002" s="5">
        <v>62.2</v>
      </c>
      <c r="J1002" s="5" t="s">
        <v>14</v>
      </c>
      <c r="K1002" s="7">
        <v>63.69</v>
      </c>
      <c r="L1002" s="8">
        <v>22</v>
      </c>
      <c r="M1002" s="9"/>
    </row>
    <row r="1003" s="1" customFormat="1" ht="20.1" customHeight="1" spans="1:13">
      <c r="A1003" s="4" t="str">
        <f>"37502022030118191624211"</f>
        <v>37502022030118191624211</v>
      </c>
      <c r="B1003" s="4" t="s">
        <v>982</v>
      </c>
      <c r="C1003" s="4" t="s">
        <v>1004</v>
      </c>
      <c r="D1003" s="4" t="str">
        <f>"20220153330"</f>
        <v>20220153330</v>
      </c>
      <c r="E1003" s="4" t="str">
        <f>"33"</f>
        <v>33</v>
      </c>
      <c r="F1003" s="4" t="str">
        <f>"30"</f>
        <v>30</v>
      </c>
      <c r="G1003" s="5">
        <v>62.4</v>
      </c>
      <c r="H1003" s="5" t="s">
        <v>14</v>
      </c>
      <c r="I1003" s="5">
        <v>60.6</v>
      </c>
      <c r="J1003" s="5" t="s">
        <v>14</v>
      </c>
      <c r="K1003" s="7">
        <v>61.14</v>
      </c>
      <c r="L1003" s="8">
        <v>23</v>
      </c>
      <c r="M1003" s="9"/>
    </row>
    <row r="1004" s="1" customFormat="1" ht="20.1" customHeight="1" spans="1:13">
      <c r="A1004" s="4" t="str">
        <f>"37502022022619271019556"</f>
        <v>37502022022619271019556</v>
      </c>
      <c r="B1004" s="4" t="s">
        <v>982</v>
      </c>
      <c r="C1004" s="4" t="s">
        <v>1005</v>
      </c>
      <c r="D1004" s="4" t="str">
        <f>"20220153417"</f>
        <v>20220153417</v>
      </c>
      <c r="E1004" s="4" t="str">
        <f t="shared" ref="E1004:E1008" si="197">"34"</f>
        <v>34</v>
      </c>
      <c r="F1004" s="4" t="str">
        <f>"17"</f>
        <v>17</v>
      </c>
      <c r="G1004" s="5">
        <v>0</v>
      </c>
      <c r="H1004" s="5" t="s">
        <v>74</v>
      </c>
      <c r="I1004" s="5">
        <v>0</v>
      </c>
      <c r="J1004" s="5" t="s">
        <v>74</v>
      </c>
      <c r="K1004" s="7">
        <v>0</v>
      </c>
      <c r="L1004" s="8">
        <v>24</v>
      </c>
      <c r="M1004" s="9"/>
    </row>
    <row r="1005" s="1" customFormat="1" ht="20.1" customHeight="1" spans="1:13">
      <c r="A1005" s="4" t="str">
        <f>"37502022022700003219832"</f>
        <v>37502022022700003219832</v>
      </c>
      <c r="B1005" s="4" t="s">
        <v>982</v>
      </c>
      <c r="C1005" s="4" t="s">
        <v>1006</v>
      </c>
      <c r="D1005" s="4" t="str">
        <f>"20220153324"</f>
        <v>20220153324</v>
      </c>
      <c r="E1005" s="4" t="str">
        <f t="shared" ref="E1005:E1010" si="198">"33"</f>
        <v>33</v>
      </c>
      <c r="F1005" s="4" t="str">
        <f>"24"</f>
        <v>24</v>
      </c>
      <c r="G1005" s="5">
        <v>0</v>
      </c>
      <c r="H1005" s="5" t="s">
        <v>74</v>
      </c>
      <c r="I1005" s="5">
        <v>0</v>
      </c>
      <c r="J1005" s="5" t="s">
        <v>74</v>
      </c>
      <c r="K1005" s="7">
        <v>0</v>
      </c>
      <c r="L1005" s="8">
        <v>24</v>
      </c>
      <c r="M1005" s="9"/>
    </row>
    <row r="1006" s="1" customFormat="1" ht="20.1" customHeight="1" spans="1:13">
      <c r="A1006" s="4" t="str">
        <f>"37502022022715561520388"</f>
        <v>37502022022715561520388</v>
      </c>
      <c r="B1006" s="4" t="s">
        <v>982</v>
      </c>
      <c r="C1006" s="4" t="s">
        <v>1007</v>
      </c>
      <c r="D1006" s="4" t="str">
        <f>"20220153420"</f>
        <v>20220153420</v>
      </c>
      <c r="E1006" s="4" t="str">
        <f t="shared" si="197"/>
        <v>34</v>
      </c>
      <c r="F1006" s="4" t="str">
        <f>"20"</f>
        <v>20</v>
      </c>
      <c r="G1006" s="5">
        <v>0</v>
      </c>
      <c r="H1006" s="5" t="s">
        <v>74</v>
      </c>
      <c r="I1006" s="5">
        <v>0</v>
      </c>
      <c r="J1006" s="5" t="s">
        <v>74</v>
      </c>
      <c r="K1006" s="7">
        <v>0</v>
      </c>
      <c r="L1006" s="8">
        <v>24</v>
      </c>
      <c r="M1006" s="9"/>
    </row>
    <row r="1007" s="1" customFormat="1" ht="20.1" customHeight="1" spans="1:13">
      <c r="A1007" s="4" t="str">
        <f>"37502022022810472921673"</f>
        <v>37502022022810472921673</v>
      </c>
      <c r="B1007" s="4" t="s">
        <v>982</v>
      </c>
      <c r="C1007" s="4" t="s">
        <v>1008</v>
      </c>
      <c r="D1007" s="4" t="str">
        <f>"20220153407"</f>
        <v>20220153407</v>
      </c>
      <c r="E1007" s="4" t="str">
        <f t="shared" si="197"/>
        <v>34</v>
      </c>
      <c r="F1007" s="4" t="str">
        <f>"07"</f>
        <v>07</v>
      </c>
      <c r="G1007" s="5">
        <v>0</v>
      </c>
      <c r="H1007" s="5" t="s">
        <v>74</v>
      </c>
      <c r="I1007" s="5">
        <v>0</v>
      </c>
      <c r="J1007" s="5" t="s">
        <v>74</v>
      </c>
      <c r="K1007" s="7">
        <v>0</v>
      </c>
      <c r="L1007" s="8">
        <v>24</v>
      </c>
      <c r="M1007" s="9"/>
    </row>
    <row r="1008" s="1" customFormat="1" ht="20.1" customHeight="1" spans="1:13">
      <c r="A1008" s="4" t="str">
        <f>"37502022022819484522914"</f>
        <v>37502022022819484522914</v>
      </c>
      <c r="B1008" s="4" t="s">
        <v>982</v>
      </c>
      <c r="C1008" s="4" t="s">
        <v>574</v>
      </c>
      <c r="D1008" s="4" t="str">
        <f>"20220153409"</f>
        <v>20220153409</v>
      </c>
      <c r="E1008" s="4" t="str">
        <f t="shared" si="197"/>
        <v>34</v>
      </c>
      <c r="F1008" s="4" t="str">
        <f>"09"</f>
        <v>09</v>
      </c>
      <c r="G1008" s="5">
        <v>0</v>
      </c>
      <c r="H1008" s="5" t="s">
        <v>74</v>
      </c>
      <c r="I1008" s="5">
        <v>0</v>
      </c>
      <c r="J1008" s="5" t="s">
        <v>74</v>
      </c>
      <c r="K1008" s="7">
        <v>0</v>
      </c>
      <c r="L1008" s="8">
        <v>24</v>
      </c>
      <c r="M1008" s="9"/>
    </row>
    <row r="1009" s="1" customFormat="1" ht="20.1" customHeight="1" spans="1:13">
      <c r="A1009" s="4" t="str">
        <f>"37502022030112550923688"</f>
        <v>37502022030112550923688</v>
      </c>
      <c r="B1009" s="4" t="s">
        <v>982</v>
      </c>
      <c r="C1009" s="4" t="s">
        <v>1009</v>
      </c>
      <c r="D1009" s="4" t="str">
        <f>"20220153319"</f>
        <v>20220153319</v>
      </c>
      <c r="E1009" s="4" t="str">
        <f t="shared" si="198"/>
        <v>33</v>
      </c>
      <c r="F1009" s="4" t="str">
        <f>"19"</f>
        <v>19</v>
      </c>
      <c r="G1009" s="5">
        <v>0</v>
      </c>
      <c r="H1009" s="5" t="s">
        <v>74</v>
      </c>
      <c r="I1009" s="5">
        <v>0</v>
      </c>
      <c r="J1009" s="5" t="s">
        <v>74</v>
      </c>
      <c r="K1009" s="7">
        <v>0</v>
      </c>
      <c r="L1009" s="8">
        <v>24</v>
      </c>
      <c r="M1009" s="9"/>
    </row>
    <row r="1010" s="1" customFormat="1" ht="20.1" customHeight="1" spans="1:13">
      <c r="A1010" s="4" t="str">
        <f>"37502022030114052523804"</f>
        <v>37502022030114052523804</v>
      </c>
      <c r="B1010" s="4" t="s">
        <v>982</v>
      </c>
      <c r="C1010" s="4" t="s">
        <v>1010</v>
      </c>
      <c r="D1010" s="4" t="str">
        <f>"20220153325"</f>
        <v>20220153325</v>
      </c>
      <c r="E1010" s="4" t="str">
        <f t="shared" si="198"/>
        <v>33</v>
      </c>
      <c r="F1010" s="4" t="str">
        <f>"25"</f>
        <v>25</v>
      </c>
      <c r="G1010" s="5">
        <v>0</v>
      </c>
      <c r="H1010" s="5" t="s">
        <v>74</v>
      </c>
      <c r="I1010" s="5">
        <v>0</v>
      </c>
      <c r="J1010" s="5" t="s">
        <v>74</v>
      </c>
      <c r="K1010" s="7">
        <v>0</v>
      </c>
      <c r="L1010" s="8">
        <v>24</v>
      </c>
      <c r="M1010" s="9"/>
    </row>
    <row r="1011" s="1" customFormat="1" ht="20.1" customHeight="1" spans="1:13">
      <c r="A1011" s="4" t="str">
        <f>"37502022030116394624036"</f>
        <v>37502022030116394624036</v>
      </c>
      <c r="B1011" s="4" t="s">
        <v>982</v>
      </c>
      <c r="C1011" s="4" t="s">
        <v>145</v>
      </c>
      <c r="D1011" s="4" t="str">
        <f>"20220153421"</f>
        <v>20220153421</v>
      </c>
      <c r="E1011" s="4" t="str">
        <f t="shared" ref="E1011:E1013" si="199">"34"</f>
        <v>34</v>
      </c>
      <c r="F1011" s="4" t="str">
        <f>"21"</f>
        <v>21</v>
      </c>
      <c r="G1011" s="5">
        <v>0</v>
      </c>
      <c r="H1011" s="5" t="s">
        <v>74</v>
      </c>
      <c r="I1011" s="5">
        <v>0</v>
      </c>
      <c r="J1011" s="5" t="s">
        <v>74</v>
      </c>
      <c r="K1011" s="7">
        <v>0</v>
      </c>
      <c r="L1011" s="8">
        <v>24</v>
      </c>
      <c r="M1011" s="9"/>
    </row>
    <row r="1012" s="1" customFormat="1" ht="20.1" customHeight="1" spans="1:13">
      <c r="A1012" s="4" t="str">
        <f>"37502022030119220624343"</f>
        <v>37502022030119220624343</v>
      </c>
      <c r="B1012" s="4" t="s">
        <v>982</v>
      </c>
      <c r="C1012" s="4" t="s">
        <v>1011</v>
      </c>
      <c r="D1012" s="4" t="str">
        <f>"20220153412"</f>
        <v>20220153412</v>
      </c>
      <c r="E1012" s="4" t="str">
        <f t="shared" si="199"/>
        <v>34</v>
      </c>
      <c r="F1012" s="4" t="str">
        <f>"12"</f>
        <v>12</v>
      </c>
      <c r="G1012" s="5">
        <v>0</v>
      </c>
      <c r="H1012" s="5" t="s">
        <v>74</v>
      </c>
      <c r="I1012" s="5">
        <v>0</v>
      </c>
      <c r="J1012" s="5" t="s">
        <v>74</v>
      </c>
      <c r="K1012" s="7">
        <v>0</v>
      </c>
      <c r="L1012" s="8">
        <v>24</v>
      </c>
      <c r="M1012" s="9"/>
    </row>
    <row r="1013" s="1" customFormat="1" ht="20.1" customHeight="1" spans="1:13">
      <c r="A1013" s="4" t="str">
        <f>"37502022030121121324555"</f>
        <v>37502022030121121324555</v>
      </c>
      <c r="B1013" s="4" t="s">
        <v>982</v>
      </c>
      <c r="C1013" s="4" t="s">
        <v>1012</v>
      </c>
      <c r="D1013" s="4" t="str">
        <f>"20220153404"</f>
        <v>20220153404</v>
      </c>
      <c r="E1013" s="4" t="str">
        <f t="shared" si="199"/>
        <v>34</v>
      </c>
      <c r="F1013" s="4" t="str">
        <f>"04"</f>
        <v>04</v>
      </c>
      <c r="G1013" s="5">
        <v>0</v>
      </c>
      <c r="H1013" s="5" t="s">
        <v>74</v>
      </c>
      <c r="I1013" s="5">
        <v>0</v>
      </c>
      <c r="J1013" s="5" t="s">
        <v>74</v>
      </c>
      <c r="K1013" s="7">
        <v>0</v>
      </c>
      <c r="L1013" s="8">
        <v>24</v>
      </c>
      <c r="M1013" s="9"/>
    </row>
    <row r="1014" s="1" customFormat="1" ht="20.1" customHeight="1" spans="1:13">
      <c r="A1014" s="4" t="str">
        <f>"37502022030220542825962"</f>
        <v>37502022030220542825962</v>
      </c>
      <c r="B1014" s="4" t="s">
        <v>982</v>
      </c>
      <c r="C1014" s="4" t="s">
        <v>1013</v>
      </c>
      <c r="D1014" s="4" t="str">
        <f>"20220153328"</f>
        <v>20220153328</v>
      </c>
      <c r="E1014" s="4" t="str">
        <f>"33"</f>
        <v>33</v>
      </c>
      <c r="F1014" s="4" t="str">
        <f>"28"</f>
        <v>28</v>
      </c>
      <c r="G1014" s="5">
        <v>0</v>
      </c>
      <c r="H1014" s="5" t="s">
        <v>74</v>
      </c>
      <c r="I1014" s="5">
        <v>0</v>
      </c>
      <c r="J1014" s="5" t="s">
        <v>74</v>
      </c>
      <c r="K1014" s="7">
        <v>0</v>
      </c>
      <c r="L1014" s="8">
        <v>24</v>
      </c>
      <c r="M1014" s="9"/>
    </row>
    <row r="1015" s="1" customFormat="1" ht="20.1" customHeight="1" spans="1:13">
      <c r="A1015" s="4" t="str">
        <f>"37502022030106242423100"</f>
        <v>37502022030106242423100</v>
      </c>
      <c r="B1015" s="4" t="s">
        <v>1014</v>
      </c>
      <c r="C1015" s="4" t="s">
        <v>1015</v>
      </c>
      <c r="D1015" s="4" t="str">
        <f>"20220163507"</f>
        <v>20220163507</v>
      </c>
      <c r="E1015" s="4" t="str">
        <f t="shared" ref="E1015:E1026" si="200">"35"</f>
        <v>35</v>
      </c>
      <c r="F1015" s="4" t="str">
        <f>"07"</f>
        <v>07</v>
      </c>
      <c r="G1015" s="5">
        <v>78.12</v>
      </c>
      <c r="H1015" s="5" t="s">
        <v>14</v>
      </c>
      <c r="I1015" s="5">
        <v>86.4</v>
      </c>
      <c r="J1015" s="5" t="s">
        <v>14</v>
      </c>
      <c r="K1015" s="7">
        <v>83.92</v>
      </c>
      <c r="L1015" s="8">
        <v>1</v>
      </c>
      <c r="M1015" s="9"/>
    </row>
    <row r="1016" s="1" customFormat="1" ht="20.1" customHeight="1" spans="1:13">
      <c r="A1016" s="4" t="str">
        <f>"37502022030121112324554"</f>
        <v>37502022030121112324554</v>
      </c>
      <c r="B1016" s="4" t="s">
        <v>1014</v>
      </c>
      <c r="C1016" s="4" t="s">
        <v>1016</v>
      </c>
      <c r="D1016" s="4" t="str">
        <f>"20220163509"</f>
        <v>20220163509</v>
      </c>
      <c r="E1016" s="4" t="str">
        <f t="shared" si="200"/>
        <v>35</v>
      </c>
      <c r="F1016" s="4" t="str">
        <f>"09"</f>
        <v>09</v>
      </c>
      <c r="G1016" s="5">
        <v>78.24</v>
      </c>
      <c r="H1016" s="5" t="s">
        <v>14</v>
      </c>
      <c r="I1016" s="5">
        <v>81.9</v>
      </c>
      <c r="J1016" s="5" t="s">
        <v>14</v>
      </c>
      <c r="K1016" s="7">
        <v>80.8</v>
      </c>
      <c r="L1016" s="8">
        <v>2</v>
      </c>
      <c r="M1016" s="9"/>
    </row>
    <row r="1017" s="1" customFormat="1" ht="20.1" customHeight="1" spans="1:13">
      <c r="A1017" s="4" t="str">
        <f>"37502022022613043919140"</f>
        <v>37502022022613043919140</v>
      </c>
      <c r="B1017" s="4" t="s">
        <v>1014</v>
      </c>
      <c r="C1017" s="4" t="s">
        <v>1017</v>
      </c>
      <c r="D1017" s="4" t="str">
        <f>"20220163430"</f>
        <v>20220163430</v>
      </c>
      <c r="E1017" s="4" t="str">
        <f>"34"</f>
        <v>34</v>
      </c>
      <c r="F1017" s="4" t="str">
        <f>"30"</f>
        <v>30</v>
      </c>
      <c r="G1017" s="5">
        <v>81.93</v>
      </c>
      <c r="H1017" s="5" t="s">
        <v>14</v>
      </c>
      <c r="I1017" s="5">
        <v>79.7</v>
      </c>
      <c r="J1017" s="5" t="s">
        <v>14</v>
      </c>
      <c r="K1017" s="7">
        <v>80.37</v>
      </c>
      <c r="L1017" s="8">
        <v>3</v>
      </c>
      <c r="M1017" s="9"/>
    </row>
    <row r="1018" s="1" customFormat="1" ht="20.1" customHeight="1" spans="1:13">
      <c r="A1018" s="4" t="str">
        <f>"37502022030110594923475"</f>
        <v>37502022030110594923475</v>
      </c>
      <c r="B1018" s="4" t="s">
        <v>1014</v>
      </c>
      <c r="C1018" s="4" t="s">
        <v>1018</v>
      </c>
      <c r="D1018" s="4" t="str">
        <f>"20220163511"</f>
        <v>20220163511</v>
      </c>
      <c r="E1018" s="4" t="str">
        <f t="shared" si="200"/>
        <v>35</v>
      </c>
      <c r="F1018" s="4" t="str">
        <f>"11"</f>
        <v>11</v>
      </c>
      <c r="G1018" s="5">
        <v>75.45</v>
      </c>
      <c r="H1018" s="5" t="s">
        <v>14</v>
      </c>
      <c r="I1018" s="5">
        <v>81.5</v>
      </c>
      <c r="J1018" s="5" t="s">
        <v>14</v>
      </c>
      <c r="K1018" s="7">
        <v>79.69</v>
      </c>
      <c r="L1018" s="8">
        <v>4</v>
      </c>
      <c r="M1018" s="9"/>
    </row>
    <row r="1019" s="1" customFormat="1" ht="20.1" customHeight="1" spans="1:13">
      <c r="A1019" s="4" t="str">
        <f>"37502022022706474819857"</f>
        <v>37502022022706474819857</v>
      </c>
      <c r="B1019" s="4" t="s">
        <v>1014</v>
      </c>
      <c r="C1019" s="4" t="s">
        <v>1019</v>
      </c>
      <c r="D1019" s="4" t="str">
        <f>"20220163508"</f>
        <v>20220163508</v>
      </c>
      <c r="E1019" s="4" t="str">
        <f t="shared" si="200"/>
        <v>35</v>
      </c>
      <c r="F1019" s="4" t="str">
        <f>"08"</f>
        <v>08</v>
      </c>
      <c r="G1019" s="5">
        <v>79.1</v>
      </c>
      <c r="H1019" s="5" t="s">
        <v>14</v>
      </c>
      <c r="I1019" s="5">
        <v>78.8</v>
      </c>
      <c r="J1019" s="5" t="s">
        <v>14</v>
      </c>
      <c r="K1019" s="7">
        <v>78.89</v>
      </c>
      <c r="L1019" s="8">
        <v>5</v>
      </c>
      <c r="M1019" s="9"/>
    </row>
    <row r="1020" s="1" customFormat="1" ht="20.1" customHeight="1" spans="1:13">
      <c r="A1020" s="4" t="str">
        <f>"37502022030122320424695"</f>
        <v>37502022030122320424695</v>
      </c>
      <c r="B1020" s="4" t="s">
        <v>1014</v>
      </c>
      <c r="C1020" s="4" t="s">
        <v>1020</v>
      </c>
      <c r="D1020" s="4" t="str">
        <f>"20220163503"</f>
        <v>20220163503</v>
      </c>
      <c r="E1020" s="4" t="str">
        <f t="shared" si="200"/>
        <v>35</v>
      </c>
      <c r="F1020" s="4" t="str">
        <f>"03"</f>
        <v>03</v>
      </c>
      <c r="G1020" s="5">
        <v>67.9</v>
      </c>
      <c r="H1020" s="5" t="s">
        <v>14</v>
      </c>
      <c r="I1020" s="5">
        <v>79.9</v>
      </c>
      <c r="J1020" s="5" t="s">
        <v>14</v>
      </c>
      <c r="K1020" s="7">
        <v>76.3</v>
      </c>
      <c r="L1020" s="8">
        <v>6</v>
      </c>
      <c r="M1020" s="9"/>
    </row>
    <row r="1021" s="1" customFormat="1" ht="20.1" customHeight="1" spans="1:13">
      <c r="A1021" s="4" t="str">
        <f>"37502022022609014818672"</f>
        <v>37502022022609014818672</v>
      </c>
      <c r="B1021" s="4" t="s">
        <v>1014</v>
      </c>
      <c r="C1021" s="4" t="s">
        <v>1021</v>
      </c>
      <c r="D1021" s="4" t="str">
        <f>"20220163505"</f>
        <v>20220163505</v>
      </c>
      <c r="E1021" s="4" t="str">
        <f t="shared" si="200"/>
        <v>35</v>
      </c>
      <c r="F1021" s="4" t="str">
        <f>"05"</f>
        <v>05</v>
      </c>
      <c r="G1021" s="5">
        <v>71.79</v>
      </c>
      <c r="H1021" s="5" t="s">
        <v>14</v>
      </c>
      <c r="I1021" s="5">
        <v>76.4</v>
      </c>
      <c r="J1021" s="5" t="s">
        <v>14</v>
      </c>
      <c r="K1021" s="7">
        <v>75.02</v>
      </c>
      <c r="L1021" s="8">
        <v>7</v>
      </c>
      <c r="M1021" s="9"/>
    </row>
    <row r="1022" s="1" customFormat="1" ht="20.1" customHeight="1" spans="1:13">
      <c r="A1022" s="4" t="str">
        <f>"37502022030122170724669"</f>
        <v>37502022030122170724669</v>
      </c>
      <c r="B1022" s="4" t="s">
        <v>1014</v>
      </c>
      <c r="C1022" s="4" t="s">
        <v>1022</v>
      </c>
      <c r="D1022" s="4" t="str">
        <f>"20220163504"</f>
        <v>20220163504</v>
      </c>
      <c r="E1022" s="4" t="str">
        <f t="shared" si="200"/>
        <v>35</v>
      </c>
      <c r="F1022" s="4" t="str">
        <f>"04"</f>
        <v>04</v>
      </c>
      <c r="G1022" s="5">
        <v>73.22</v>
      </c>
      <c r="H1022" s="5" t="s">
        <v>14</v>
      </c>
      <c r="I1022" s="5">
        <v>74.5</v>
      </c>
      <c r="J1022" s="5" t="s">
        <v>14</v>
      </c>
      <c r="K1022" s="7">
        <v>74.12</v>
      </c>
      <c r="L1022" s="8">
        <v>8</v>
      </c>
      <c r="M1022" s="9"/>
    </row>
    <row r="1023" s="1" customFormat="1" ht="20.1" customHeight="1" spans="1:13">
      <c r="A1023" s="4" t="str">
        <f>"37502022030121443724619"</f>
        <v>37502022030121443724619</v>
      </c>
      <c r="B1023" s="4" t="s">
        <v>1014</v>
      </c>
      <c r="C1023" s="4" t="s">
        <v>1023</v>
      </c>
      <c r="D1023" s="4" t="str">
        <f>"20220163515"</f>
        <v>20220163515</v>
      </c>
      <c r="E1023" s="4" t="str">
        <f t="shared" si="200"/>
        <v>35</v>
      </c>
      <c r="F1023" s="4" t="str">
        <f>"15"</f>
        <v>15</v>
      </c>
      <c r="G1023" s="5">
        <v>71.44</v>
      </c>
      <c r="H1023" s="5" t="s">
        <v>14</v>
      </c>
      <c r="I1023" s="5">
        <v>72.2</v>
      </c>
      <c r="J1023" s="5" t="s">
        <v>14</v>
      </c>
      <c r="K1023" s="7">
        <v>71.97</v>
      </c>
      <c r="L1023" s="8">
        <v>9</v>
      </c>
      <c r="M1023" s="9"/>
    </row>
    <row r="1024" s="1" customFormat="1" ht="20.1" customHeight="1" spans="1:13">
      <c r="A1024" s="4" t="str">
        <f>"37502022022712314520100"</f>
        <v>37502022022712314520100</v>
      </c>
      <c r="B1024" s="4" t="s">
        <v>1014</v>
      </c>
      <c r="C1024" s="4" t="s">
        <v>1024</v>
      </c>
      <c r="D1024" s="4" t="str">
        <f>"20220163506"</f>
        <v>20220163506</v>
      </c>
      <c r="E1024" s="4" t="str">
        <f t="shared" si="200"/>
        <v>35</v>
      </c>
      <c r="F1024" s="4" t="str">
        <f>"06"</f>
        <v>06</v>
      </c>
      <c r="G1024" s="5">
        <v>75.36</v>
      </c>
      <c r="H1024" s="5" t="s">
        <v>14</v>
      </c>
      <c r="I1024" s="5">
        <v>70</v>
      </c>
      <c r="J1024" s="5" t="s">
        <v>14</v>
      </c>
      <c r="K1024" s="7">
        <v>71.61</v>
      </c>
      <c r="L1024" s="8">
        <v>10</v>
      </c>
      <c r="M1024" s="9"/>
    </row>
    <row r="1025" s="1" customFormat="1" ht="20.1" customHeight="1" spans="1:13">
      <c r="A1025" s="4" t="str">
        <f>"37502022030216091225518"</f>
        <v>37502022030216091225518</v>
      </c>
      <c r="B1025" s="4" t="s">
        <v>1014</v>
      </c>
      <c r="C1025" s="4" t="s">
        <v>1025</v>
      </c>
      <c r="D1025" s="4" t="str">
        <f>"20220163510"</f>
        <v>20220163510</v>
      </c>
      <c r="E1025" s="4" t="str">
        <f t="shared" si="200"/>
        <v>35</v>
      </c>
      <c r="F1025" s="4" t="str">
        <f>"10"</f>
        <v>10</v>
      </c>
      <c r="G1025" s="5">
        <v>72.32</v>
      </c>
      <c r="H1025" s="5" t="s">
        <v>14</v>
      </c>
      <c r="I1025" s="5">
        <v>70.8</v>
      </c>
      <c r="J1025" s="5" t="s">
        <v>14</v>
      </c>
      <c r="K1025" s="7">
        <v>71.26</v>
      </c>
      <c r="L1025" s="8">
        <v>11</v>
      </c>
      <c r="M1025" s="9"/>
    </row>
    <row r="1026" s="1" customFormat="1" ht="20.1" customHeight="1" spans="1:13">
      <c r="A1026" s="4" t="str">
        <f>"37502022030119372624376"</f>
        <v>37502022030119372624376</v>
      </c>
      <c r="B1026" s="4" t="s">
        <v>1014</v>
      </c>
      <c r="C1026" s="4" t="s">
        <v>1026</v>
      </c>
      <c r="D1026" s="4" t="str">
        <f>"20220163518"</f>
        <v>20220163518</v>
      </c>
      <c r="E1026" s="4" t="str">
        <f t="shared" si="200"/>
        <v>35</v>
      </c>
      <c r="F1026" s="4" t="str">
        <f>"18"</f>
        <v>18</v>
      </c>
      <c r="G1026" s="5">
        <v>64.13</v>
      </c>
      <c r="H1026" s="5" t="s">
        <v>14</v>
      </c>
      <c r="I1026" s="5">
        <v>73.1</v>
      </c>
      <c r="J1026" s="5" t="s">
        <v>14</v>
      </c>
      <c r="K1026" s="7">
        <v>70.41</v>
      </c>
      <c r="L1026" s="8">
        <v>12</v>
      </c>
      <c r="M1026" s="9"/>
    </row>
    <row r="1027" s="1" customFormat="1" ht="20.1" customHeight="1" spans="1:13">
      <c r="A1027" s="4" t="str">
        <f>"37502022022609123618686"</f>
        <v>37502022022609123618686</v>
      </c>
      <c r="B1027" s="4" t="s">
        <v>1014</v>
      </c>
      <c r="C1027" s="4" t="s">
        <v>1027</v>
      </c>
      <c r="D1027" s="4" t="str">
        <f>"20220163428"</f>
        <v>20220163428</v>
      </c>
      <c r="E1027" s="4" t="str">
        <f t="shared" ref="E1027:E1033" si="201">"34"</f>
        <v>34</v>
      </c>
      <c r="F1027" s="4" t="str">
        <f>"28"</f>
        <v>28</v>
      </c>
      <c r="G1027" s="5">
        <v>58.72</v>
      </c>
      <c r="H1027" s="5" t="s">
        <v>14</v>
      </c>
      <c r="I1027" s="5">
        <v>74.7</v>
      </c>
      <c r="J1027" s="5" t="s">
        <v>14</v>
      </c>
      <c r="K1027" s="7">
        <v>69.91</v>
      </c>
      <c r="L1027" s="8">
        <v>13</v>
      </c>
      <c r="M1027" s="9"/>
    </row>
    <row r="1028" s="1" customFormat="1" ht="20.1" customHeight="1" spans="1:13">
      <c r="A1028" s="4" t="str">
        <f>"37502022030111234423529"</f>
        <v>37502022030111234423529</v>
      </c>
      <c r="B1028" s="4" t="s">
        <v>1014</v>
      </c>
      <c r="C1028" s="4" t="s">
        <v>1028</v>
      </c>
      <c r="D1028" s="4" t="str">
        <f>"20220163519"</f>
        <v>20220163519</v>
      </c>
      <c r="E1028" s="4" t="str">
        <f>"35"</f>
        <v>35</v>
      </c>
      <c r="F1028" s="4" t="str">
        <f>"19"</f>
        <v>19</v>
      </c>
      <c r="G1028" s="5">
        <v>61.96</v>
      </c>
      <c r="H1028" s="5" t="s">
        <v>14</v>
      </c>
      <c r="I1028" s="5">
        <v>73.3</v>
      </c>
      <c r="J1028" s="5" t="s">
        <v>14</v>
      </c>
      <c r="K1028" s="7">
        <v>69.9</v>
      </c>
      <c r="L1028" s="8">
        <v>14</v>
      </c>
      <c r="M1028" s="9"/>
    </row>
    <row r="1029" s="1" customFormat="1" ht="20.1" customHeight="1" spans="1:13">
      <c r="A1029" s="4" t="str">
        <f>"37502022022709115319897"</f>
        <v>37502022022709115319897</v>
      </c>
      <c r="B1029" s="4" t="s">
        <v>1014</v>
      </c>
      <c r="C1029" s="4" t="s">
        <v>1029</v>
      </c>
      <c r="D1029" s="4" t="str">
        <f>"20220163513"</f>
        <v>20220163513</v>
      </c>
      <c r="E1029" s="4" t="str">
        <f>"35"</f>
        <v>35</v>
      </c>
      <c r="F1029" s="4" t="str">
        <f>"13"</f>
        <v>13</v>
      </c>
      <c r="G1029" s="5">
        <v>68.89</v>
      </c>
      <c r="H1029" s="5" t="s">
        <v>14</v>
      </c>
      <c r="I1029" s="5">
        <v>69.1</v>
      </c>
      <c r="J1029" s="5" t="s">
        <v>14</v>
      </c>
      <c r="K1029" s="7">
        <v>69.04</v>
      </c>
      <c r="L1029" s="8">
        <v>15</v>
      </c>
      <c r="M1029" s="9"/>
    </row>
    <row r="1030" s="1" customFormat="1" ht="20.1" customHeight="1" spans="1:13">
      <c r="A1030" s="4" t="str">
        <f>"37502022022620450719645"</f>
        <v>37502022022620450719645</v>
      </c>
      <c r="B1030" s="4" t="s">
        <v>1014</v>
      </c>
      <c r="C1030" s="4" t="s">
        <v>1030</v>
      </c>
      <c r="D1030" s="4" t="str">
        <f>"20220163423"</f>
        <v>20220163423</v>
      </c>
      <c r="E1030" s="4" t="str">
        <f t="shared" si="201"/>
        <v>34</v>
      </c>
      <c r="F1030" s="4" t="str">
        <f>"23"</f>
        <v>23</v>
      </c>
      <c r="G1030" s="5">
        <v>65.49</v>
      </c>
      <c r="H1030" s="5" t="s">
        <v>14</v>
      </c>
      <c r="I1030" s="5">
        <v>70.2</v>
      </c>
      <c r="J1030" s="5" t="s">
        <v>14</v>
      </c>
      <c r="K1030" s="7">
        <v>68.79</v>
      </c>
      <c r="L1030" s="8">
        <v>16</v>
      </c>
      <c r="M1030" s="9"/>
    </row>
    <row r="1031" s="1" customFormat="1" ht="20.1" customHeight="1" spans="1:13">
      <c r="A1031" s="4" t="str">
        <f>"37502022030121233524571"</f>
        <v>37502022030121233524571</v>
      </c>
      <c r="B1031" s="4" t="s">
        <v>1014</v>
      </c>
      <c r="C1031" s="4" t="s">
        <v>1031</v>
      </c>
      <c r="D1031" s="4" t="str">
        <f>"20220163425"</f>
        <v>20220163425</v>
      </c>
      <c r="E1031" s="4" t="str">
        <f t="shared" si="201"/>
        <v>34</v>
      </c>
      <c r="F1031" s="4" t="str">
        <f>"25"</f>
        <v>25</v>
      </c>
      <c r="G1031" s="5">
        <v>67.63</v>
      </c>
      <c r="H1031" s="5" t="s">
        <v>14</v>
      </c>
      <c r="I1031" s="5">
        <v>69</v>
      </c>
      <c r="J1031" s="5" t="s">
        <v>14</v>
      </c>
      <c r="K1031" s="7">
        <v>68.59</v>
      </c>
      <c r="L1031" s="8">
        <v>17</v>
      </c>
      <c r="M1031" s="9"/>
    </row>
    <row r="1032" s="1" customFormat="1" ht="20.1" customHeight="1" spans="1:13">
      <c r="A1032" s="4" t="str">
        <f>"37502022022819180522883"</f>
        <v>37502022022819180522883</v>
      </c>
      <c r="B1032" s="4" t="s">
        <v>1014</v>
      </c>
      <c r="C1032" s="4" t="s">
        <v>1032</v>
      </c>
      <c r="D1032" s="4" t="str">
        <f>"20220163426"</f>
        <v>20220163426</v>
      </c>
      <c r="E1032" s="4" t="str">
        <f t="shared" si="201"/>
        <v>34</v>
      </c>
      <c r="F1032" s="4" t="str">
        <f>"26"</f>
        <v>26</v>
      </c>
      <c r="G1032" s="5">
        <v>66.84</v>
      </c>
      <c r="H1032" s="5" t="s">
        <v>14</v>
      </c>
      <c r="I1032" s="5">
        <v>68.5</v>
      </c>
      <c r="J1032" s="5" t="s">
        <v>14</v>
      </c>
      <c r="K1032" s="7">
        <v>68</v>
      </c>
      <c r="L1032" s="8">
        <v>18</v>
      </c>
      <c r="M1032" s="9"/>
    </row>
    <row r="1033" s="1" customFormat="1" ht="20.1" customHeight="1" spans="1:13">
      <c r="A1033" s="4" t="str">
        <f>"37502022022721021420877"</f>
        <v>37502022022721021420877</v>
      </c>
      <c r="B1033" s="4" t="s">
        <v>1014</v>
      </c>
      <c r="C1033" s="4" t="s">
        <v>1033</v>
      </c>
      <c r="D1033" s="4" t="str">
        <f>"20220163429"</f>
        <v>20220163429</v>
      </c>
      <c r="E1033" s="4" t="str">
        <f t="shared" si="201"/>
        <v>34</v>
      </c>
      <c r="F1033" s="4" t="str">
        <f>"29"</f>
        <v>29</v>
      </c>
      <c r="G1033" s="5">
        <v>70.21</v>
      </c>
      <c r="H1033" s="5" t="s">
        <v>14</v>
      </c>
      <c r="I1033" s="5">
        <v>66.8</v>
      </c>
      <c r="J1033" s="5" t="s">
        <v>14</v>
      </c>
      <c r="K1033" s="7">
        <v>67.82</v>
      </c>
      <c r="L1033" s="8">
        <v>19</v>
      </c>
      <c r="M1033" s="9"/>
    </row>
    <row r="1034" s="1" customFormat="1" ht="20.1" customHeight="1" spans="1:13">
      <c r="A1034" s="4" t="str">
        <f>"37502022030121370024599"</f>
        <v>37502022030121370024599</v>
      </c>
      <c r="B1034" s="4" t="s">
        <v>1014</v>
      </c>
      <c r="C1034" s="4" t="s">
        <v>1034</v>
      </c>
      <c r="D1034" s="4" t="str">
        <f>"20220163502"</f>
        <v>20220163502</v>
      </c>
      <c r="E1034" s="4" t="str">
        <f t="shared" ref="E1034:E1036" si="202">"35"</f>
        <v>35</v>
      </c>
      <c r="F1034" s="4" t="str">
        <f>"02"</f>
        <v>02</v>
      </c>
      <c r="G1034" s="5">
        <v>67.74</v>
      </c>
      <c r="H1034" s="5" t="s">
        <v>14</v>
      </c>
      <c r="I1034" s="5">
        <v>66.5</v>
      </c>
      <c r="J1034" s="5" t="s">
        <v>14</v>
      </c>
      <c r="K1034" s="7">
        <v>66.87</v>
      </c>
      <c r="L1034" s="8">
        <v>20</v>
      </c>
      <c r="M1034" s="9"/>
    </row>
    <row r="1035" s="1" customFormat="1" ht="20.1" customHeight="1" spans="1:13">
      <c r="A1035" s="4" t="str">
        <f>"37502022022617283519448"</f>
        <v>37502022022617283519448</v>
      </c>
      <c r="B1035" s="4" t="s">
        <v>1014</v>
      </c>
      <c r="C1035" s="4" t="s">
        <v>1035</v>
      </c>
      <c r="D1035" s="4" t="str">
        <f>"20220163520"</f>
        <v>20220163520</v>
      </c>
      <c r="E1035" s="4" t="str">
        <f t="shared" si="202"/>
        <v>35</v>
      </c>
      <c r="F1035" s="4" t="str">
        <f>"20"</f>
        <v>20</v>
      </c>
      <c r="G1035" s="5">
        <v>60.58</v>
      </c>
      <c r="H1035" s="5" t="s">
        <v>14</v>
      </c>
      <c r="I1035" s="5">
        <v>69.1</v>
      </c>
      <c r="J1035" s="5" t="s">
        <v>14</v>
      </c>
      <c r="K1035" s="7">
        <v>66.54</v>
      </c>
      <c r="L1035" s="8">
        <v>21</v>
      </c>
      <c r="M1035" s="9"/>
    </row>
    <row r="1036" s="1" customFormat="1" ht="20.1" customHeight="1" spans="1:13">
      <c r="A1036" s="4" t="str">
        <f>"37502022030118292824232"</f>
        <v>37502022030118292824232</v>
      </c>
      <c r="B1036" s="4" t="s">
        <v>1014</v>
      </c>
      <c r="C1036" s="4" t="s">
        <v>1036</v>
      </c>
      <c r="D1036" s="4" t="str">
        <f>"20220163512"</f>
        <v>20220163512</v>
      </c>
      <c r="E1036" s="4" t="str">
        <f t="shared" si="202"/>
        <v>35</v>
      </c>
      <c r="F1036" s="4" t="str">
        <f>"12"</f>
        <v>12</v>
      </c>
      <c r="G1036" s="5">
        <v>59</v>
      </c>
      <c r="H1036" s="5" t="s">
        <v>14</v>
      </c>
      <c r="I1036" s="5">
        <v>68.6</v>
      </c>
      <c r="J1036" s="5" t="s">
        <v>14</v>
      </c>
      <c r="K1036" s="7">
        <v>65.72</v>
      </c>
      <c r="L1036" s="8">
        <v>22</v>
      </c>
      <c r="M1036" s="9"/>
    </row>
    <row r="1037" s="1" customFormat="1" ht="20.1" customHeight="1" spans="1:13">
      <c r="A1037" s="4" t="str">
        <f>"37502022022621404119703"</f>
        <v>37502022022621404119703</v>
      </c>
      <c r="B1037" s="4" t="s">
        <v>1014</v>
      </c>
      <c r="C1037" s="4" t="s">
        <v>1037</v>
      </c>
      <c r="D1037" s="4" t="str">
        <f>"20220163424"</f>
        <v>20220163424</v>
      </c>
      <c r="E1037" s="4" t="str">
        <f>"34"</f>
        <v>34</v>
      </c>
      <c r="F1037" s="4" t="str">
        <f>"24"</f>
        <v>24</v>
      </c>
      <c r="G1037" s="5">
        <v>58.77</v>
      </c>
      <c r="H1037" s="5" t="s">
        <v>14</v>
      </c>
      <c r="I1037" s="5">
        <v>65</v>
      </c>
      <c r="J1037" s="5" t="s">
        <v>14</v>
      </c>
      <c r="K1037" s="7">
        <v>63.13</v>
      </c>
      <c r="L1037" s="8">
        <v>23</v>
      </c>
      <c r="M1037" s="9"/>
    </row>
    <row r="1038" s="1" customFormat="1" ht="20.1" customHeight="1" spans="1:13">
      <c r="A1038" s="4" t="str">
        <f>"37502022022618242419499"</f>
        <v>37502022022618242419499</v>
      </c>
      <c r="B1038" s="4" t="s">
        <v>1014</v>
      </c>
      <c r="C1038" s="4" t="s">
        <v>1038</v>
      </c>
      <c r="D1038" s="4" t="str">
        <f>"20220163517"</f>
        <v>20220163517</v>
      </c>
      <c r="E1038" s="4" t="str">
        <f t="shared" ref="E1038:E1043" si="203">"35"</f>
        <v>35</v>
      </c>
      <c r="F1038" s="4" t="str">
        <f>"17"</f>
        <v>17</v>
      </c>
      <c r="G1038" s="5">
        <v>0</v>
      </c>
      <c r="H1038" s="5" t="s">
        <v>74</v>
      </c>
      <c r="I1038" s="5">
        <v>0</v>
      </c>
      <c r="J1038" s="5" t="s">
        <v>74</v>
      </c>
      <c r="K1038" s="7">
        <v>0</v>
      </c>
      <c r="L1038" s="8">
        <v>24</v>
      </c>
      <c r="M1038" s="9"/>
    </row>
    <row r="1039" s="1" customFormat="1" ht="20.1" customHeight="1" spans="1:13">
      <c r="A1039" s="4" t="str">
        <f>"37502022022812274621931"</f>
        <v>37502022022812274621931</v>
      </c>
      <c r="B1039" s="4" t="s">
        <v>1014</v>
      </c>
      <c r="C1039" s="4" t="s">
        <v>1039</v>
      </c>
      <c r="D1039" s="4" t="str">
        <f>"20220163514"</f>
        <v>20220163514</v>
      </c>
      <c r="E1039" s="4" t="str">
        <f t="shared" si="203"/>
        <v>35</v>
      </c>
      <c r="F1039" s="4" t="str">
        <f>"14"</f>
        <v>14</v>
      </c>
      <c r="G1039" s="5">
        <v>0</v>
      </c>
      <c r="H1039" s="5" t="s">
        <v>74</v>
      </c>
      <c r="I1039" s="5">
        <v>0</v>
      </c>
      <c r="J1039" s="5" t="s">
        <v>74</v>
      </c>
      <c r="K1039" s="7">
        <v>0</v>
      </c>
      <c r="L1039" s="8">
        <v>24</v>
      </c>
      <c r="M1039" s="9"/>
    </row>
    <row r="1040" s="1" customFormat="1" ht="20.1" customHeight="1" spans="1:13">
      <c r="A1040" s="4" t="str">
        <f>"37502022022818341722844"</f>
        <v>37502022022818341722844</v>
      </c>
      <c r="B1040" s="4" t="s">
        <v>1014</v>
      </c>
      <c r="C1040" s="4" t="s">
        <v>1040</v>
      </c>
      <c r="D1040" s="4" t="str">
        <f>"20220163427"</f>
        <v>20220163427</v>
      </c>
      <c r="E1040" s="4" t="str">
        <f>"34"</f>
        <v>34</v>
      </c>
      <c r="F1040" s="4" t="str">
        <f>"27"</f>
        <v>27</v>
      </c>
      <c r="G1040" s="5">
        <v>0</v>
      </c>
      <c r="H1040" s="5" t="s">
        <v>74</v>
      </c>
      <c r="I1040" s="5">
        <v>0</v>
      </c>
      <c r="J1040" s="5" t="s">
        <v>74</v>
      </c>
      <c r="K1040" s="7">
        <v>0</v>
      </c>
      <c r="L1040" s="8">
        <v>24</v>
      </c>
      <c r="M1040" s="9"/>
    </row>
    <row r="1041" s="1" customFormat="1" ht="20.1" customHeight="1" spans="1:13">
      <c r="A1041" s="4" t="str">
        <f>"37502022030119353324373"</f>
        <v>37502022030119353324373</v>
      </c>
      <c r="B1041" s="4" t="s">
        <v>1014</v>
      </c>
      <c r="C1041" s="4" t="s">
        <v>1041</v>
      </c>
      <c r="D1041" s="4" t="str">
        <f>"20220163521"</f>
        <v>20220163521</v>
      </c>
      <c r="E1041" s="4" t="str">
        <f t="shared" si="203"/>
        <v>35</v>
      </c>
      <c r="F1041" s="4" t="str">
        <f>"21"</f>
        <v>21</v>
      </c>
      <c r="G1041" s="5">
        <v>0</v>
      </c>
      <c r="H1041" s="5" t="s">
        <v>74</v>
      </c>
      <c r="I1041" s="5">
        <v>0</v>
      </c>
      <c r="J1041" s="5" t="s">
        <v>74</v>
      </c>
      <c r="K1041" s="7">
        <v>0</v>
      </c>
      <c r="L1041" s="8">
        <v>24</v>
      </c>
      <c r="M1041" s="9"/>
    </row>
    <row r="1042" s="1" customFormat="1" ht="20.1" customHeight="1" spans="1:13">
      <c r="A1042" s="4" t="str">
        <f>"37502022030209253524915"</f>
        <v>37502022030209253524915</v>
      </c>
      <c r="B1042" s="4" t="s">
        <v>1014</v>
      </c>
      <c r="C1042" s="4" t="s">
        <v>1042</v>
      </c>
      <c r="D1042" s="4" t="str">
        <f>"20220163501"</f>
        <v>20220163501</v>
      </c>
      <c r="E1042" s="4" t="str">
        <f t="shared" si="203"/>
        <v>35</v>
      </c>
      <c r="F1042" s="4" t="str">
        <f>"01"</f>
        <v>01</v>
      </c>
      <c r="G1042" s="5">
        <v>0</v>
      </c>
      <c r="H1042" s="5" t="s">
        <v>74</v>
      </c>
      <c r="I1042" s="5">
        <v>0</v>
      </c>
      <c r="J1042" s="5" t="s">
        <v>74</v>
      </c>
      <c r="K1042" s="7">
        <v>0</v>
      </c>
      <c r="L1042" s="8">
        <v>24</v>
      </c>
      <c r="M1042" s="9"/>
    </row>
    <row r="1043" s="1" customFormat="1" ht="20.1" customHeight="1" spans="1:13">
      <c r="A1043" s="4" t="str">
        <f>"37502022030217153225606"</f>
        <v>37502022030217153225606</v>
      </c>
      <c r="B1043" s="4" t="s">
        <v>1014</v>
      </c>
      <c r="C1043" s="4" t="s">
        <v>27</v>
      </c>
      <c r="D1043" s="4" t="str">
        <f>"20220163516"</f>
        <v>20220163516</v>
      </c>
      <c r="E1043" s="4" t="str">
        <f t="shared" si="203"/>
        <v>35</v>
      </c>
      <c r="F1043" s="4" t="str">
        <f>"16"</f>
        <v>16</v>
      </c>
      <c r="G1043" s="5">
        <v>0</v>
      </c>
      <c r="H1043" s="5" t="s">
        <v>74</v>
      </c>
      <c r="I1043" s="5">
        <v>0</v>
      </c>
      <c r="J1043" s="5" t="s">
        <v>74</v>
      </c>
      <c r="K1043" s="7">
        <v>0</v>
      </c>
      <c r="L1043" s="8">
        <v>24</v>
      </c>
      <c r="M1043" s="9"/>
    </row>
    <row r="1044" s="1" customFormat="1" ht="20.1" customHeight="1" spans="1:13">
      <c r="A1044" s="4" t="str">
        <f>"37502022022712010620067"</f>
        <v>37502022022712010620067</v>
      </c>
      <c r="B1044" s="4" t="s">
        <v>1043</v>
      </c>
      <c r="C1044" s="4" t="s">
        <v>1044</v>
      </c>
      <c r="D1044" s="4" t="str">
        <f>"20220173601"</f>
        <v>20220173601</v>
      </c>
      <c r="E1044" s="4" t="str">
        <f t="shared" ref="E1044:E1051" si="204">"36"</f>
        <v>36</v>
      </c>
      <c r="F1044" s="4" t="str">
        <f>"01"</f>
        <v>01</v>
      </c>
      <c r="G1044" s="5">
        <v>74.99</v>
      </c>
      <c r="H1044" s="5" t="s">
        <v>14</v>
      </c>
      <c r="I1044" s="5">
        <v>82.6</v>
      </c>
      <c r="J1044" s="5" t="s">
        <v>14</v>
      </c>
      <c r="K1044" s="7">
        <v>80.32</v>
      </c>
      <c r="L1044" s="8">
        <v>1</v>
      </c>
      <c r="M1044" s="9"/>
    </row>
    <row r="1045" s="1" customFormat="1" ht="20.1" customHeight="1" spans="1:13">
      <c r="A1045" s="4" t="str">
        <f>"37502022030215583725505"</f>
        <v>37502022030215583725505</v>
      </c>
      <c r="B1045" s="4" t="s">
        <v>1043</v>
      </c>
      <c r="C1045" s="4" t="s">
        <v>1045</v>
      </c>
      <c r="D1045" s="4" t="str">
        <f>"20220173527"</f>
        <v>20220173527</v>
      </c>
      <c r="E1045" s="4" t="str">
        <f t="shared" ref="E1045:E1047" si="205">"35"</f>
        <v>35</v>
      </c>
      <c r="F1045" s="4" t="str">
        <f>"27"</f>
        <v>27</v>
      </c>
      <c r="G1045" s="5">
        <v>76.03</v>
      </c>
      <c r="H1045" s="5" t="s">
        <v>14</v>
      </c>
      <c r="I1045" s="5">
        <v>80.7</v>
      </c>
      <c r="J1045" s="5" t="s">
        <v>14</v>
      </c>
      <c r="K1045" s="7">
        <v>79.3</v>
      </c>
      <c r="L1045" s="8">
        <v>2</v>
      </c>
      <c r="M1045" s="9"/>
    </row>
    <row r="1046" s="1" customFormat="1" ht="20.1" customHeight="1" spans="1:13">
      <c r="A1046" s="4" t="str">
        <f>"37502022022814203022245"</f>
        <v>37502022022814203022245</v>
      </c>
      <c r="B1046" s="4" t="s">
        <v>1043</v>
      </c>
      <c r="C1046" s="4" t="s">
        <v>1046</v>
      </c>
      <c r="D1046" s="4" t="str">
        <f>"20220173530"</f>
        <v>20220173530</v>
      </c>
      <c r="E1046" s="4" t="str">
        <f t="shared" si="205"/>
        <v>35</v>
      </c>
      <c r="F1046" s="4" t="str">
        <f>"30"</f>
        <v>30</v>
      </c>
      <c r="G1046" s="5">
        <v>77.01</v>
      </c>
      <c r="H1046" s="5" t="s">
        <v>14</v>
      </c>
      <c r="I1046" s="5">
        <v>78.7</v>
      </c>
      <c r="J1046" s="5" t="s">
        <v>14</v>
      </c>
      <c r="K1046" s="7">
        <v>78.19</v>
      </c>
      <c r="L1046" s="8">
        <v>3</v>
      </c>
      <c r="M1046" s="9"/>
    </row>
    <row r="1047" s="1" customFormat="1" ht="20.1" customHeight="1" spans="1:13">
      <c r="A1047" s="4" t="str">
        <f>"37502022022814173322234"</f>
        <v>37502022022814173322234</v>
      </c>
      <c r="B1047" s="4" t="s">
        <v>1043</v>
      </c>
      <c r="C1047" s="4" t="s">
        <v>1047</v>
      </c>
      <c r="D1047" s="4" t="str">
        <f>"20220173529"</f>
        <v>20220173529</v>
      </c>
      <c r="E1047" s="4" t="str">
        <f t="shared" si="205"/>
        <v>35</v>
      </c>
      <c r="F1047" s="4" t="str">
        <f>"29"</f>
        <v>29</v>
      </c>
      <c r="G1047" s="5">
        <v>67.9</v>
      </c>
      <c r="H1047" s="5" t="s">
        <v>14</v>
      </c>
      <c r="I1047" s="5">
        <v>80.9</v>
      </c>
      <c r="J1047" s="5" t="s">
        <v>14</v>
      </c>
      <c r="K1047" s="7">
        <v>77</v>
      </c>
      <c r="L1047" s="8">
        <v>4</v>
      </c>
      <c r="M1047" s="9"/>
    </row>
    <row r="1048" s="1" customFormat="1" ht="20.1" customHeight="1" spans="1:13">
      <c r="A1048" s="4" t="str">
        <f>"37502022022814263022268"</f>
        <v>37502022022814263022268</v>
      </c>
      <c r="B1048" s="4" t="s">
        <v>1043</v>
      </c>
      <c r="C1048" s="4" t="s">
        <v>1048</v>
      </c>
      <c r="D1048" s="4" t="str">
        <f>"20220173613"</f>
        <v>20220173613</v>
      </c>
      <c r="E1048" s="4" t="str">
        <f t="shared" si="204"/>
        <v>36</v>
      </c>
      <c r="F1048" s="4" t="str">
        <f>"13"</f>
        <v>13</v>
      </c>
      <c r="G1048" s="5">
        <v>75.63</v>
      </c>
      <c r="H1048" s="5" t="s">
        <v>14</v>
      </c>
      <c r="I1048" s="5">
        <v>76.4</v>
      </c>
      <c r="J1048" s="5" t="s">
        <v>14</v>
      </c>
      <c r="K1048" s="7">
        <v>76.17</v>
      </c>
      <c r="L1048" s="8">
        <v>5</v>
      </c>
      <c r="M1048" s="9"/>
    </row>
    <row r="1049" s="1" customFormat="1" ht="20.1" customHeight="1" spans="1:13">
      <c r="A1049" s="4" t="str">
        <f>"37502022022814160422229"</f>
        <v>37502022022814160422229</v>
      </c>
      <c r="B1049" s="4" t="s">
        <v>1043</v>
      </c>
      <c r="C1049" s="4" t="s">
        <v>1049</v>
      </c>
      <c r="D1049" s="4" t="str">
        <f>"20220173615"</f>
        <v>20220173615</v>
      </c>
      <c r="E1049" s="4" t="str">
        <f t="shared" si="204"/>
        <v>36</v>
      </c>
      <c r="F1049" s="4" t="str">
        <f>"15"</f>
        <v>15</v>
      </c>
      <c r="G1049" s="5">
        <v>74.09</v>
      </c>
      <c r="H1049" s="5" t="s">
        <v>14</v>
      </c>
      <c r="I1049" s="5">
        <v>76.7</v>
      </c>
      <c r="J1049" s="5" t="s">
        <v>14</v>
      </c>
      <c r="K1049" s="7">
        <v>75.92</v>
      </c>
      <c r="L1049" s="8">
        <v>6</v>
      </c>
      <c r="M1049" s="9"/>
    </row>
    <row r="1050" s="1" customFormat="1" ht="20.1" customHeight="1" spans="1:13">
      <c r="A1050" s="4" t="str">
        <f>"37502022022610072318826"</f>
        <v>37502022022610072318826</v>
      </c>
      <c r="B1050" s="4" t="s">
        <v>1043</v>
      </c>
      <c r="C1050" s="4" t="s">
        <v>1050</v>
      </c>
      <c r="D1050" s="4" t="str">
        <f>"20220173606"</f>
        <v>20220173606</v>
      </c>
      <c r="E1050" s="4" t="str">
        <f t="shared" si="204"/>
        <v>36</v>
      </c>
      <c r="F1050" s="4" t="str">
        <f>"06"</f>
        <v>06</v>
      </c>
      <c r="G1050" s="5">
        <v>69.73</v>
      </c>
      <c r="H1050" s="5" t="s">
        <v>14</v>
      </c>
      <c r="I1050" s="5">
        <v>76.2</v>
      </c>
      <c r="J1050" s="5" t="s">
        <v>14</v>
      </c>
      <c r="K1050" s="7">
        <v>74.26</v>
      </c>
      <c r="L1050" s="8">
        <v>7</v>
      </c>
      <c r="M1050" s="9"/>
    </row>
    <row r="1051" s="1" customFormat="1" ht="20.1" customHeight="1" spans="1:13">
      <c r="A1051" s="4" t="str">
        <f>"37502022030214184125377"</f>
        <v>37502022030214184125377</v>
      </c>
      <c r="B1051" s="4" t="s">
        <v>1043</v>
      </c>
      <c r="C1051" s="4" t="s">
        <v>1051</v>
      </c>
      <c r="D1051" s="4" t="str">
        <f>"20220173614"</f>
        <v>20220173614</v>
      </c>
      <c r="E1051" s="4" t="str">
        <f t="shared" si="204"/>
        <v>36</v>
      </c>
      <c r="F1051" s="4" t="str">
        <f>"14"</f>
        <v>14</v>
      </c>
      <c r="G1051" s="5">
        <v>79.31</v>
      </c>
      <c r="H1051" s="5" t="s">
        <v>14</v>
      </c>
      <c r="I1051" s="5">
        <v>70</v>
      </c>
      <c r="J1051" s="5" t="s">
        <v>14</v>
      </c>
      <c r="K1051" s="7">
        <v>72.79</v>
      </c>
      <c r="L1051" s="8">
        <v>8</v>
      </c>
      <c r="M1051" s="9"/>
    </row>
    <row r="1052" s="1" customFormat="1" ht="20.1" customHeight="1" spans="1:13">
      <c r="A1052" s="4" t="str">
        <f>"37502022022614515119265"</f>
        <v>37502022022614515119265</v>
      </c>
      <c r="B1052" s="4" t="s">
        <v>1043</v>
      </c>
      <c r="C1052" s="4" t="s">
        <v>1052</v>
      </c>
      <c r="D1052" s="4" t="str">
        <f>"20220173522"</f>
        <v>20220173522</v>
      </c>
      <c r="E1052" s="4" t="str">
        <f>"35"</f>
        <v>35</v>
      </c>
      <c r="F1052" s="4" t="str">
        <f>"22"</f>
        <v>22</v>
      </c>
      <c r="G1052" s="5">
        <v>72.3</v>
      </c>
      <c r="H1052" s="5" t="s">
        <v>14</v>
      </c>
      <c r="I1052" s="5">
        <v>72</v>
      </c>
      <c r="J1052" s="5" t="s">
        <v>14</v>
      </c>
      <c r="K1052" s="7">
        <v>72.09</v>
      </c>
      <c r="L1052" s="8">
        <v>9</v>
      </c>
      <c r="M1052" s="9"/>
    </row>
    <row r="1053" s="1" customFormat="1" ht="20.1" customHeight="1" spans="1:13">
      <c r="A1053" s="4" t="str">
        <f>"37502022022809532021523"</f>
        <v>37502022022809532021523</v>
      </c>
      <c r="B1053" s="4" t="s">
        <v>1043</v>
      </c>
      <c r="C1053" s="4" t="s">
        <v>1053</v>
      </c>
      <c r="D1053" s="4" t="str">
        <f>"20220173607"</f>
        <v>20220173607</v>
      </c>
      <c r="E1053" s="4" t="str">
        <f t="shared" ref="E1053:E1058" si="206">"36"</f>
        <v>36</v>
      </c>
      <c r="F1053" s="4" t="str">
        <f>"07"</f>
        <v>07</v>
      </c>
      <c r="G1053" s="5">
        <v>76.1</v>
      </c>
      <c r="H1053" s="5" t="s">
        <v>14</v>
      </c>
      <c r="I1053" s="5">
        <v>68.9</v>
      </c>
      <c r="J1053" s="5" t="s">
        <v>14</v>
      </c>
      <c r="K1053" s="7">
        <v>71.06</v>
      </c>
      <c r="L1053" s="8">
        <v>10</v>
      </c>
      <c r="M1053" s="9"/>
    </row>
    <row r="1054" s="1" customFormat="1" ht="20.1" customHeight="1" spans="1:13">
      <c r="A1054" s="4" t="str">
        <f>"37502022030120310224464"</f>
        <v>37502022030120310224464</v>
      </c>
      <c r="B1054" s="4" t="s">
        <v>1043</v>
      </c>
      <c r="C1054" s="4" t="s">
        <v>1054</v>
      </c>
      <c r="D1054" s="4" t="str">
        <f>"20220173603"</f>
        <v>20220173603</v>
      </c>
      <c r="E1054" s="4" t="str">
        <f t="shared" si="206"/>
        <v>36</v>
      </c>
      <c r="F1054" s="4" t="str">
        <f>"03"</f>
        <v>03</v>
      </c>
      <c r="G1054" s="5">
        <v>71.17</v>
      </c>
      <c r="H1054" s="5" t="s">
        <v>14</v>
      </c>
      <c r="I1054" s="5">
        <v>69.7</v>
      </c>
      <c r="J1054" s="5" t="s">
        <v>14</v>
      </c>
      <c r="K1054" s="7">
        <v>70.14</v>
      </c>
      <c r="L1054" s="8">
        <v>11</v>
      </c>
      <c r="M1054" s="9"/>
    </row>
    <row r="1055" s="1" customFormat="1" ht="20.1" customHeight="1" spans="1:13">
      <c r="A1055" s="4" t="str">
        <f>"37502022030118161324204"</f>
        <v>37502022030118161324204</v>
      </c>
      <c r="B1055" s="4" t="s">
        <v>1043</v>
      </c>
      <c r="C1055" s="4" t="s">
        <v>1055</v>
      </c>
      <c r="D1055" s="4" t="str">
        <f>"20220173602"</f>
        <v>20220173602</v>
      </c>
      <c r="E1055" s="4" t="str">
        <f t="shared" si="206"/>
        <v>36</v>
      </c>
      <c r="F1055" s="4" t="str">
        <f>"02"</f>
        <v>02</v>
      </c>
      <c r="G1055" s="5">
        <v>67.83</v>
      </c>
      <c r="H1055" s="5" t="s">
        <v>14</v>
      </c>
      <c r="I1055" s="5">
        <v>70</v>
      </c>
      <c r="J1055" s="5" t="s">
        <v>14</v>
      </c>
      <c r="K1055" s="7">
        <v>69.35</v>
      </c>
      <c r="L1055" s="8">
        <v>12</v>
      </c>
      <c r="M1055" s="9"/>
    </row>
    <row r="1056" s="1" customFormat="1" ht="20.1" customHeight="1" spans="1:13">
      <c r="A1056" s="4" t="str">
        <f>"37502022022713425420185"</f>
        <v>37502022022713425420185</v>
      </c>
      <c r="B1056" s="4" t="s">
        <v>1043</v>
      </c>
      <c r="C1056" s="4" t="s">
        <v>1056</v>
      </c>
      <c r="D1056" s="4" t="str">
        <f>"20220173604"</f>
        <v>20220173604</v>
      </c>
      <c r="E1056" s="4" t="str">
        <f t="shared" si="206"/>
        <v>36</v>
      </c>
      <c r="F1056" s="4" t="str">
        <f>"04"</f>
        <v>04</v>
      </c>
      <c r="G1056" s="5">
        <v>67.1</v>
      </c>
      <c r="H1056" s="5" t="s">
        <v>14</v>
      </c>
      <c r="I1056" s="5">
        <v>69.2</v>
      </c>
      <c r="J1056" s="5" t="s">
        <v>14</v>
      </c>
      <c r="K1056" s="7">
        <v>68.57</v>
      </c>
      <c r="L1056" s="8">
        <v>13</v>
      </c>
      <c r="M1056" s="9"/>
    </row>
    <row r="1057" s="1" customFormat="1" ht="20.1" customHeight="1" spans="1:13">
      <c r="A1057" s="4" t="str">
        <f>"37502022030214170125370"</f>
        <v>37502022030214170125370</v>
      </c>
      <c r="B1057" s="4" t="s">
        <v>1043</v>
      </c>
      <c r="C1057" s="4" t="s">
        <v>1057</v>
      </c>
      <c r="D1057" s="4" t="str">
        <f>"20220173609"</f>
        <v>20220173609</v>
      </c>
      <c r="E1057" s="4" t="str">
        <f t="shared" si="206"/>
        <v>36</v>
      </c>
      <c r="F1057" s="4" t="str">
        <f>"09"</f>
        <v>09</v>
      </c>
      <c r="G1057" s="5">
        <v>73.16</v>
      </c>
      <c r="H1057" s="5" t="s">
        <v>14</v>
      </c>
      <c r="I1057" s="5">
        <v>66.2</v>
      </c>
      <c r="J1057" s="5" t="s">
        <v>14</v>
      </c>
      <c r="K1057" s="7">
        <v>68.29</v>
      </c>
      <c r="L1057" s="8">
        <v>14</v>
      </c>
      <c r="M1057" s="9"/>
    </row>
    <row r="1058" s="1" customFormat="1" ht="20.1" customHeight="1" spans="1:13">
      <c r="A1058" s="4" t="str">
        <f>"37502022022719364120685"</f>
        <v>37502022022719364120685</v>
      </c>
      <c r="B1058" s="4" t="s">
        <v>1043</v>
      </c>
      <c r="C1058" s="4" t="s">
        <v>1058</v>
      </c>
      <c r="D1058" s="4" t="str">
        <f>"20220173612"</f>
        <v>20220173612</v>
      </c>
      <c r="E1058" s="4" t="str">
        <f t="shared" si="206"/>
        <v>36</v>
      </c>
      <c r="F1058" s="4" t="str">
        <f>"12"</f>
        <v>12</v>
      </c>
      <c r="G1058" s="5">
        <v>66.59</v>
      </c>
      <c r="H1058" s="5" t="s">
        <v>14</v>
      </c>
      <c r="I1058" s="5">
        <v>68.6</v>
      </c>
      <c r="J1058" s="5" t="s">
        <v>14</v>
      </c>
      <c r="K1058" s="7">
        <v>68</v>
      </c>
      <c r="L1058" s="8">
        <v>15</v>
      </c>
      <c r="M1058" s="9"/>
    </row>
    <row r="1059" s="1" customFormat="1" ht="20.1" customHeight="1" spans="1:13">
      <c r="A1059" s="4" t="str">
        <f>"37502022022821285423007"</f>
        <v>37502022022821285423007</v>
      </c>
      <c r="B1059" s="4" t="s">
        <v>1043</v>
      </c>
      <c r="C1059" s="4" t="s">
        <v>1059</v>
      </c>
      <c r="D1059" s="4" t="str">
        <f>"20220173524"</f>
        <v>20220173524</v>
      </c>
      <c r="E1059" s="4" t="str">
        <f t="shared" ref="E1059:E1065" si="207">"35"</f>
        <v>35</v>
      </c>
      <c r="F1059" s="4" t="str">
        <f>"24"</f>
        <v>24</v>
      </c>
      <c r="G1059" s="5">
        <v>65.83</v>
      </c>
      <c r="H1059" s="5" t="s">
        <v>14</v>
      </c>
      <c r="I1059" s="5">
        <v>68.5</v>
      </c>
      <c r="J1059" s="5" t="s">
        <v>14</v>
      </c>
      <c r="K1059" s="7">
        <v>67.7</v>
      </c>
      <c r="L1059" s="8">
        <v>16</v>
      </c>
      <c r="M1059" s="9"/>
    </row>
    <row r="1060" s="1" customFormat="1" ht="20.1" customHeight="1" spans="1:13">
      <c r="A1060" s="4" t="str">
        <f>"37502022030121234024572"</f>
        <v>37502022030121234024572</v>
      </c>
      <c r="B1060" s="4" t="s">
        <v>1043</v>
      </c>
      <c r="C1060" s="4" t="s">
        <v>793</v>
      </c>
      <c r="D1060" s="4" t="str">
        <f>"20220173617"</f>
        <v>20220173617</v>
      </c>
      <c r="E1060" s="4" t="str">
        <f t="shared" ref="E1060:E1063" si="208">"36"</f>
        <v>36</v>
      </c>
      <c r="F1060" s="4" t="str">
        <f>"17"</f>
        <v>17</v>
      </c>
      <c r="G1060" s="5">
        <v>72.25</v>
      </c>
      <c r="H1060" s="5" t="s">
        <v>14</v>
      </c>
      <c r="I1060" s="5">
        <v>65.3</v>
      </c>
      <c r="J1060" s="5" t="s">
        <v>14</v>
      </c>
      <c r="K1060" s="7">
        <v>67.39</v>
      </c>
      <c r="L1060" s="8">
        <v>17</v>
      </c>
      <c r="M1060" s="9"/>
    </row>
    <row r="1061" s="1" customFormat="1" ht="20.1" customHeight="1" spans="1:13">
      <c r="A1061" s="4" t="str">
        <f>"37502022030208165924823"</f>
        <v>37502022030208165924823</v>
      </c>
      <c r="B1061" s="4" t="s">
        <v>1043</v>
      </c>
      <c r="C1061" s="4" t="s">
        <v>1060</v>
      </c>
      <c r="D1061" s="4" t="str">
        <f>"20220173608"</f>
        <v>20220173608</v>
      </c>
      <c r="E1061" s="4" t="str">
        <f t="shared" si="208"/>
        <v>36</v>
      </c>
      <c r="F1061" s="4" t="str">
        <f>"08"</f>
        <v>08</v>
      </c>
      <c r="G1061" s="5">
        <v>68.8</v>
      </c>
      <c r="H1061" s="5" t="s">
        <v>14</v>
      </c>
      <c r="I1061" s="5">
        <v>60</v>
      </c>
      <c r="J1061" s="5" t="s">
        <v>14</v>
      </c>
      <c r="K1061" s="7">
        <v>62.64</v>
      </c>
      <c r="L1061" s="8">
        <v>18</v>
      </c>
      <c r="M1061" s="9"/>
    </row>
    <row r="1062" s="1" customFormat="1" ht="20.1" customHeight="1" spans="1:13">
      <c r="A1062" s="4" t="str">
        <f>"37502022022609510418798"</f>
        <v>37502022022609510418798</v>
      </c>
      <c r="B1062" s="4" t="s">
        <v>1043</v>
      </c>
      <c r="C1062" s="4" t="s">
        <v>1061</v>
      </c>
      <c r="D1062" s="4" t="str">
        <f>"20220173523"</f>
        <v>20220173523</v>
      </c>
      <c r="E1062" s="4" t="str">
        <f t="shared" si="207"/>
        <v>35</v>
      </c>
      <c r="F1062" s="4" t="str">
        <f>"23"</f>
        <v>23</v>
      </c>
      <c r="G1062" s="5">
        <v>0</v>
      </c>
      <c r="H1062" s="5" t="s">
        <v>74</v>
      </c>
      <c r="I1062" s="5">
        <v>0</v>
      </c>
      <c r="J1062" s="5" t="s">
        <v>74</v>
      </c>
      <c r="K1062" s="7">
        <v>0</v>
      </c>
      <c r="L1062" s="8">
        <v>19</v>
      </c>
      <c r="M1062" s="9"/>
    </row>
    <row r="1063" s="1" customFormat="1" ht="20.1" customHeight="1" spans="1:13">
      <c r="A1063" s="4" t="str">
        <f>"37502022022713011120133"</f>
        <v>37502022022713011120133</v>
      </c>
      <c r="B1063" s="4" t="s">
        <v>1043</v>
      </c>
      <c r="C1063" s="4" t="s">
        <v>1062</v>
      </c>
      <c r="D1063" s="4" t="str">
        <f>"20220173610"</f>
        <v>20220173610</v>
      </c>
      <c r="E1063" s="4" t="str">
        <f t="shared" si="208"/>
        <v>36</v>
      </c>
      <c r="F1063" s="4" t="str">
        <f>"10"</f>
        <v>10</v>
      </c>
      <c r="G1063" s="5">
        <v>0</v>
      </c>
      <c r="H1063" s="5" t="s">
        <v>74</v>
      </c>
      <c r="I1063" s="5">
        <v>0</v>
      </c>
      <c r="J1063" s="5" t="s">
        <v>74</v>
      </c>
      <c r="K1063" s="7">
        <v>0</v>
      </c>
      <c r="L1063" s="8">
        <v>19</v>
      </c>
      <c r="M1063" s="9"/>
    </row>
    <row r="1064" s="1" customFormat="1" ht="20.1" customHeight="1" spans="1:13">
      <c r="A1064" s="4" t="str">
        <f>"37502022022817553222817"</f>
        <v>37502022022817553222817</v>
      </c>
      <c r="B1064" s="4" t="s">
        <v>1043</v>
      </c>
      <c r="C1064" s="4" t="s">
        <v>1063</v>
      </c>
      <c r="D1064" s="4" t="str">
        <f>"20220173526"</f>
        <v>20220173526</v>
      </c>
      <c r="E1064" s="4" t="str">
        <f t="shared" si="207"/>
        <v>35</v>
      </c>
      <c r="F1064" s="4" t="str">
        <f>"26"</f>
        <v>26</v>
      </c>
      <c r="G1064" s="5">
        <v>0</v>
      </c>
      <c r="H1064" s="5" t="s">
        <v>74</v>
      </c>
      <c r="I1064" s="5">
        <v>0</v>
      </c>
      <c r="J1064" s="5" t="s">
        <v>74</v>
      </c>
      <c r="K1064" s="7">
        <v>0</v>
      </c>
      <c r="L1064" s="8">
        <v>19</v>
      </c>
      <c r="M1064" s="9"/>
    </row>
    <row r="1065" s="1" customFormat="1" ht="20.1" customHeight="1" spans="1:13">
      <c r="A1065" s="4" t="str">
        <f>"37502022022821061222991"</f>
        <v>37502022022821061222991</v>
      </c>
      <c r="B1065" s="4" t="s">
        <v>1043</v>
      </c>
      <c r="C1065" s="4" t="s">
        <v>303</v>
      </c>
      <c r="D1065" s="4" t="str">
        <f>"20220173525"</f>
        <v>20220173525</v>
      </c>
      <c r="E1065" s="4" t="str">
        <f t="shared" si="207"/>
        <v>35</v>
      </c>
      <c r="F1065" s="4" t="str">
        <f>"25"</f>
        <v>25</v>
      </c>
      <c r="G1065" s="5">
        <v>0</v>
      </c>
      <c r="H1065" s="5" t="s">
        <v>74</v>
      </c>
      <c r="I1065" s="5">
        <v>0</v>
      </c>
      <c r="J1065" s="5" t="s">
        <v>74</v>
      </c>
      <c r="K1065" s="7">
        <v>0</v>
      </c>
      <c r="L1065" s="8">
        <v>19</v>
      </c>
      <c r="M1065" s="9"/>
    </row>
    <row r="1066" s="1" customFormat="1" ht="20.1" customHeight="1" spans="1:13">
      <c r="A1066" s="4" t="str">
        <f>"37502022030116552524078"</f>
        <v>37502022030116552524078</v>
      </c>
      <c r="B1066" s="4" t="s">
        <v>1043</v>
      </c>
      <c r="C1066" s="4" t="s">
        <v>1064</v>
      </c>
      <c r="D1066" s="4" t="str">
        <f>"20220173616"</f>
        <v>20220173616</v>
      </c>
      <c r="E1066" s="4" t="str">
        <f t="shared" ref="E1066:E1072" si="209">"36"</f>
        <v>36</v>
      </c>
      <c r="F1066" s="4" t="str">
        <f>"16"</f>
        <v>16</v>
      </c>
      <c r="G1066" s="5">
        <v>0</v>
      </c>
      <c r="H1066" s="5" t="s">
        <v>74</v>
      </c>
      <c r="I1066" s="5">
        <v>0</v>
      </c>
      <c r="J1066" s="5" t="s">
        <v>74</v>
      </c>
      <c r="K1066" s="7">
        <v>0</v>
      </c>
      <c r="L1066" s="8">
        <v>19</v>
      </c>
      <c r="M1066" s="9"/>
    </row>
    <row r="1067" s="1" customFormat="1" ht="20.1" customHeight="1" spans="1:13">
      <c r="A1067" s="4" t="str">
        <f>"37502022030201490724777"</f>
        <v>37502022030201490724777</v>
      </c>
      <c r="B1067" s="4" t="s">
        <v>1043</v>
      </c>
      <c r="C1067" s="4" t="s">
        <v>1065</v>
      </c>
      <c r="D1067" s="4" t="str">
        <f>"20220173528"</f>
        <v>20220173528</v>
      </c>
      <c r="E1067" s="4" t="str">
        <f>"35"</f>
        <v>35</v>
      </c>
      <c r="F1067" s="4" t="str">
        <f>"28"</f>
        <v>28</v>
      </c>
      <c r="G1067" s="5">
        <v>0</v>
      </c>
      <c r="H1067" s="5" t="s">
        <v>74</v>
      </c>
      <c r="I1067" s="5">
        <v>0</v>
      </c>
      <c r="J1067" s="5" t="s">
        <v>74</v>
      </c>
      <c r="K1067" s="7">
        <v>0</v>
      </c>
      <c r="L1067" s="8">
        <v>19</v>
      </c>
      <c r="M1067" s="9"/>
    </row>
    <row r="1068" s="1" customFormat="1" ht="20.1" customHeight="1" spans="1:13">
      <c r="A1068" s="4" t="str">
        <f>"37502022030208432824845"</f>
        <v>37502022030208432824845</v>
      </c>
      <c r="B1068" s="4" t="s">
        <v>1043</v>
      </c>
      <c r="C1068" s="4" t="s">
        <v>1066</v>
      </c>
      <c r="D1068" s="4" t="str">
        <f>"20220173611"</f>
        <v>20220173611</v>
      </c>
      <c r="E1068" s="4" t="str">
        <f t="shared" si="209"/>
        <v>36</v>
      </c>
      <c r="F1068" s="4" t="str">
        <f>"11"</f>
        <v>11</v>
      </c>
      <c r="G1068" s="5">
        <v>0</v>
      </c>
      <c r="H1068" s="5" t="s">
        <v>74</v>
      </c>
      <c r="I1068" s="5">
        <v>0</v>
      </c>
      <c r="J1068" s="5" t="s">
        <v>74</v>
      </c>
      <c r="K1068" s="7">
        <v>0</v>
      </c>
      <c r="L1068" s="8">
        <v>19</v>
      </c>
      <c r="M1068" s="9"/>
    </row>
    <row r="1069" s="1" customFormat="1" ht="20.1" customHeight="1" spans="1:13">
      <c r="A1069" s="4" t="str">
        <f>"37502022030216004425510"</f>
        <v>37502022030216004425510</v>
      </c>
      <c r="B1069" s="4" t="s">
        <v>1043</v>
      </c>
      <c r="C1069" s="4" t="s">
        <v>1067</v>
      </c>
      <c r="D1069" s="4" t="str">
        <f>"20220173618"</f>
        <v>20220173618</v>
      </c>
      <c r="E1069" s="4" t="str">
        <f t="shared" si="209"/>
        <v>36</v>
      </c>
      <c r="F1069" s="4" t="str">
        <f>"18"</f>
        <v>18</v>
      </c>
      <c r="G1069" s="5">
        <v>0</v>
      </c>
      <c r="H1069" s="5" t="s">
        <v>74</v>
      </c>
      <c r="I1069" s="5">
        <v>0</v>
      </c>
      <c r="J1069" s="5" t="s">
        <v>74</v>
      </c>
      <c r="K1069" s="7">
        <v>0</v>
      </c>
      <c r="L1069" s="8">
        <v>19</v>
      </c>
      <c r="M1069" s="9"/>
    </row>
    <row r="1070" s="1" customFormat="1" ht="20.1" customHeight="1" spans="1:13">
      <c r="A1070" s="4" t="str">
        <f>"37502022030217265825620"</f>
        <v>37502022030217265825620</v>
      </c>
      <c r="B1070" s="4" t="s">
        <v>1043</v>
      </c>
      <c r="C1070" s="4" t="s">
        <v>1068</v>
      </c>
      <c r="D1070" s="4" t="str">
        <f>"20220173605"</f>
        <v>20220173605</v>
      </c>
      <c r="E1070" s="4" t="str">
        <f t="shared" si="209"/>
        <v>36</v>
      </c>
      <c r="F1070" s="4" t="str">
        <f>"05"</f>
        <v>05</v>
      </c>
      <c r="G1070" s="5">
        <v>0</v>
      </c>
      <c r="H1070" s="5" t="s">
        <v>74</v>
      </c>
      <c r="I1070" s="5">
        <v>0</v>
      </c>
      <c r="J1070" s="5" t="s">
        <v>74</v>
      </c>
      <c r="K1070" s="7">
        <v>0</v>
      </c>
      <c r="L1070" s="8">
        <v>19</v>
      </c>
      <c r="M1070" s="9"/>
    </row>
    <row r="1071" s="1" customFormat="1" ht="20.1" customHeight="1" spans="1:13">
      <c r="A1071" s="4" t="str">
        <f>"37502022030119001124293"</f>
        <v>37502022030119001124293</v>
      </c>
      <c r="B1071" s="4" t="s">
        <v>1069</v>
      </c>
      <c r="C1071" s="4" t="s">
        <v>1070</v>
      </c>
      <c r="D1071" s="4" t="str">
        <f>"20220183619"</f>
        <v>20220183619</v>
      </c>
      <c r="E1071" s="4" t="str">
        <f t="shared" si="209"/>
        <v>36</v>
      </c>
      <c r="F1071" s="4" t="str">
        <f>"19"</f>
        <v>19</v>
      </c>
      <c r="G1071" s="5">
        <v>73.9</v>
      </c>
      <c r="H1071" s="5" t="s">
        <v>14</v>
      </c>
      <c r="I1071" s="5">
        <v>83.6</v>
      </c>
      <c r="J1071" s="5" t="s">
        <v>14</v>
      </c>
      <c r="K1071" s="7">
        <v>80.69</v>
      </c>
      <c r="L1071" s="8">
        <v>1</v>
      </c>
      <c r="M1071" s="9"/>
    </row>
    <row r="1072" s="1" customFormat="1" ht="20.1" customHeight="1" spans="1:13">
      <c r="A1072" s="4" t="str">
        <f>"37502022022812442421984"</f>
        <v>37502022022812442421984</v>
      </c>
      <c r="B1072" s="4" t="s">
        <v>1069</v>
      </c>
      <c r="C1072" s="4" t="s">
        <v>1071</v>
      </c>
      <c r="D1072" s="4" t="str">
        <f>"20220183623"</f>
        <v>20220183623</v>
      </c>
      <c r="E1072" s="4" t="str">
        <f t="shared" si="209"/>
        <v>36</v>
      </c>
      <c r="F1072" s="4" t="str">
        <f>"23"</f>
        <v>23</v>
      </c>
      <c r="G1072" s="5">
        <v>72.33</v>
      </c>
      <c r="H1072" s="5" t="s">
        <v>14</v>
      </c>
      <c r="I1072" s="5">
        <v>81.6</v>
      </c>
      <c r="J1072" s="5" t="s">
        <v>14</v>
      </c>
      <c r="K1072" s="7">
        <v>78.82</v>
      </c>
      <c r="L1072" s="8">
        <v>2</v>
      </c>
      <c r="M1072" s="9"/>
    </row>
    <row r="1073" s="1" customFormat="1" ht="20.1" customHeight="1" spans="1:13">
      <c r="A1073" s="4" t="str">
        <f>"37502022030208325524833"</f>
        <v>37502022030208325524833</v>
      </c>
      <c r="B1073" s="4" t="s">
        <v>1069</v>
      </c>
      <c r="C1073" s="4" t="s">
        <v>1072</v>
      </c>
      <c r="D1073" s="4" t="str">
        <f>"20220183706"</f>
        <v>20220183706</v>
      </c>
      <c r="E1073" s="4" t="str">
        <f t="shared" ref="E1073:E1077" si="210">"37"</f>
        <v>37</v>
      </c>
      <c r="F1073" s="4" t="str">
        <f>"06"</f>
        <v>06</v>
      </c>
      <c r="G1073" s="5">
        <v>77.18</v>
      </c>
      <c r="H1073" s="5" t="s">
        <v>14</v>
      </c>
      <c r="I1073" s="5">
        <v>78.3</v>
      </c>
      <c r="J1073" s="5" t="s">
        <v>14</v>
      </c>
      <c r="K1073" s="7">
        <v>77.96</v>
      </c>
      <c r="L1073" s="8">
        <v>3</v>
      </c>
      <c r="M1073" s="9"/>
    </row>
    <row r="1074" s="1" customFormat="1" ht="20.1" customHeight="1" spans="1:13">
      <c r="A1074" s="4" t="str">
        <f>"37502022022814052522202"</f>
        <v>37502022022814052522202</v>
      </c>
      <c r="B1074" s="4" t="s">
        <v>1069</v>
      </c>
      <c r="C1074" s="4" t="s">
        <v>1073</v>
      </c>
      <c r="D1074" s="4" t="str">
        <f>"20220183703"</f>
        <v>20220183703</v>
      </c>
      <c r="E1074" s="4" t="str">
        <f t="shared" si="210"/>
        <v>37</v>
      </c>
      <c r="F1074" s="4" t="str">
        <f>"03"</f>
        <v>03</v>
      </c>
      <c r="G1074" s="5">
        <v>75.48</v>
      </c>
      <c r="H1074" s="5" t="s">
        <v>14</v>
      </c>
      <c r="I1074" s="5">
        <v>74.8</v>
      </c>
      <c r="J1074" s="5" t="s">
        <v>14</v>
      </c>
      <c r="K1074" s="7">
        <v>75</v>
      </c>
      <c r="L1074" s="8">
        <v>4</v>
      </c>
      <c r="M1074" s="9"/>
    </row>
    <row r="1075" s="1" customFormat="1" ht="20.1" customHeight="1" spans="1:13">
      <c r="A1075" s="4" t="str">
        <f>"37502022030118304724233"</f>
        <v>37502022030118304724233</v>
      </c>
      <c r="B1075" s="4" t="s">
        <v>1069</v>
      </c>
      <c r="C1075" s="4" t="s">
        <v>1074</v>
      </c>
      <c r="D1075" s="4" t="str">
        <f>"20220183709"</f>
        <v>20220183709</v>
      </c>
      <c r="E1075" s="4" t="str">
        <f t="shared" si="210"/>
        <v>37</v>
      </c>
      <c r="F1075" s="4" t="str">
        <f>"09"</f>
        <v>09</v>
      </c>
      <c r="G1075" s="5">
        <v>69.73</v>
      </c>
      <c r="H1075" s="5" t="s">
        <v>14</v>
      </c>
      <c r="I1075" s="5">
        <v>76.6</v>
      </c>
      <c r="J1075" s="5" t="s">
        <v>14</v>
      </c>
      <c r="K1075" s="7">
        <v>74.54</v>
      </c>
      <c r="L1075" s="8">
        <v>5</v>
      </c>
      <c r="M1075" s="9"/>
    </row>
    <row r="1076" s="1" customFormat="1" ht="20.1" customHeight="1" spans="1:13">
      <c r="A1076" s="4" t="str">
        <f>"37502022030110270423394"</f>
        <v>37502022030110270423394</v>
      </c>
      <c r="B1076" s="4" t="s">
        <v>1069</v>
      </c>
      <c r="C1076" s="4" t="s">
        <v>1075</v>
      </c>
      <c r="D1076" s="4" t="str">
        <f>"20220183707"</f>
        <v>20220183707</v>
      </c>
      <c r="E1076" s="4" t="str">
        <f t="shared" si="210"/>
        <v>37</v>
      </c>
      <c r="F1076" s="4" t="str">
        <f>"07"</f>
        <v>07</v>
      </c>
      <c r="G1076" s="5">
        <v>66.74</v>
      </c>
      <c r="H1076" s="5" t="s">
        <v>14</v>
      </c>
      <c r="I1076" s="5">
        <v>76.7</v>
      </c>
      <c r="J1076" s="5" t="s">
        <v>14</v>
      </c>
      <c r="K1076" s="7">
        <v>73.71</v>
      </c>
      <c r="L1076" s="8">
        <v>6</v>
      </c>
      <c r="M1076" s="9"/>
    </row>
    <row r="1077" s="1" customFormat="1" ht="20.1" customHeight="1" spans="1:13">
      <c r="A1077" s="4" t="str">
        <f>"37502022022810540621700"</f>
        <v>37502022022810540621700</v>
      </c>
      <c r="B1077" s="4" t="s">
        <v>1069</v>
      </c>
      <c r="C1077" s="4" t="s">
        <v>1076</v>
      </c>
      <c r="D1077" s="4" t="str">
        <f>"20220183711"</f>
        <v>20220183711</v>
      </c>
      <c r="E1077" s="4" t="str">
        <f t="shared" si="210"/>
        <v>37</v>
      </c>
      <c r="F1077" s="4" t="str">
        <f>"11"</f>
        <v>11</v>
      </c>
      <c r="G1077" s="5">
        <v>77.11</v>
      </c>
      <c r="H1077" s="5" t="s">
        <v>14</v>
      </c>
      <c r="I1077" s="5">
        <v>71.9</v>
      </c>
      <c r="J1077" s="5" t="s">
        <v>14</v>
      </c>
      <c r="K1077" s="7">
        <v>73.46</v>
      </c>
      <c r="L1077" s="8">
        <v>7</v>
      </c>
      <c r="M1077" s="9"/>
    </row>
    <row r="1078" s="1" customFormat="1" ht="20.1" customHeight="1" spans="1:13">
      <c r="A1078" s="4" t="str">
        <f>"37502022030119132924322"</f>
        <v>37502022030119132924322</v>
      </c>
      <c r="B1078" s="4" t="s">
        <v>1069</v>
      </c>
      <c r="C1078" s="4" t="s">
        <v>1077</v>
      </c>
      <c r="D1078" s="4" t="str">
        <f>"20220183629"</f>
        <v>20220183629</v>
      </c>
      <c r="E1078" s="4" t="str">
        <f t="shared" ref="E1078:E1082" si="211">"36"</f>
        <v>36</v>
      </c>
      <c r="F1078" s="4" t="str">
        <f>"29"</f>
        <v>29</v>
      </c>
      <c r="G1078" s="5">
        <v>72.15</v>
      </c>
      <c r="H1078" s="5" t="s">
        <v>14</v>
      </c>
      <c r="I1078" s="5">
        <v>73</v>
      </c>
      <c r="J1078" s="5" t="s">
        <v>14</v>
      </c>
      <c r="K1078" s="7">
        <v>72.75</v>
      </c>
      <c r="L1078" s="8">
        <v>8</v>
      </c>
      <c r="M1078" s="9"/>
    </row>
    <row r="1079" s="1" customFormat="1" ht="20.1" customHeight="1" spans="1:13">
      <c r="A1079" s="4" t="str">
        <f>"37502022030111022823480"</f>
        <v>37502022030111022823480</v>
      </c>
      <c r="B1079" s="4" t="s">
        <v>1069</v>
      </c>
      <c r="C1079" s="4" t="s">
        <v>1078</v>
      </c>
      <c r="D1079" s="4" t="str">
        <f>"20220183705"</f>
        <v>20220183705</v>
      </c>
      <c r="E1079" s="4" t="str">
        <f>"37"</f>
        <v>37</v>
      </c>
      <c r="F1079" s="4" t="str">
        <f>"05"</f>
        <v>05</v>
      </c>
      <c r="G1079" s="5">
        <v>76.51</v>
      </c>
      <c r="H1079" s="5" t="s">
        <v>14</v>
      </c>
      <c r="I1079" s="5">
        <v>70.8</v>
      </c>
      <c r="J1079" s="5" t="s">
        <v>14</v>
      </c>
      <c r="K1079" s="7">
        <v>72.51</v>
      </c>
      <c r="L1079" s="8">
        <v>9</v>
      </c>
      <c r="M1079" s="9"/>
    </row>
    <row r="1080" s="1" customFormat="1" ht="20.1" customHeight="1" spans="1:13">
      <c r="A1080" s="4" t="str">
        <f>"37502022030114042223802"</f>
        <v>37502022030114042223802</v>
      </c>
      <c r="B1080" s="4" t="s">
        <v>1069</v>
      </c>
      <c r="C1080" s="4" t="s">
        <v>1079</v>
      </c>
      <c r="D1080" s="4" t="str">
        <f>"20220183620"</f>
        <v>20220183620</v>
      </c>
      <c r="E1080" s="4" t="str">
        <f t="shared" si="211"/>
        <v>36</v>
      </c>
      <c r="F1080" s="4" t="str">
        <f>"20"</f>
        <v>20</v>
      </c>
      <c r="G1080" s="5">
        <v>64.21</v>
      </c>
      <c r="H1080" s="5" t="s">
        <v>14</v>
      </c>
      <c r="I1080" s="5">
        <v>75.9</v>
      </c>
      <c r="J1080" s="5" t="s">
        <v>14</v>
      </c>
      <c r="K1080" s="7">
        <v>72.39</v>
      </c>
      <c r="L1080" s="8">
        <v>10</v>
      </c>
      <c r="M1080" s="9"/>
    </row>
    <row r="1081" s="1" customFormat="1" ht="20.1" customHeight="1" spans="1:13">
      <c r="A1081" s="4" t="str">
        <f>"37502022022609521918801"</f>
        <v>37502022022609521918801</v>
      </c>
      <c r="B1081" s="4" t="s">
        <v>1069</v>
      </c>
      <c r="C1081" s="4" t="s">
        <v>1080</v>
      </c>
      <c r="D1081" s="4" t="str">
        <f>"20220183626"</f>
        <v>20220183626</v>
      </c>
      <c r="E1081" s="4" t="str">
        <f t="shared" si="211"/>
        <v>36</v>
      </c>
      <c r="F1081" s="4" t="str">
        <f>"26"</f>
        <v>26</v>
      </c>
      <c r="G1081" s="5">
        <v>65.75</v>
      </c>
      <c r="H1081" s="5" t="s">
        <v>14</v>
      </c>
      <c r="I1081" s="5">
        <v>73</v>
      </c>
      <c r="J1081" s="5" t="s">
        <v>14</v>
      </c>
      <c r="K1081" s="7">
        <v>70.83</v>
      </c>
      <c r="L1081" s="8">
        <v>11</v>
      </c>
      <c r="M1081" s="9"/>
    </row>
    <row r="1082" s="1" customFormat="1" ht="20.1" customHeight="1" spans="1:13">
      <c r="A1082" s="4" t="str">
        <f>"37502022022710190719939"</f>
        <v>37502022022710190719939</v>
      </c>
      <c r="B1082" s="4" t="s">
        <v>1069</v>
      </c>
      <c r="C1082" s="4" t="s">
        <v>1081</v>
      </c>
      <c r="D1082" s="4" t="str">
        <f>"20220183628"</f>
        <v>20220183628</v>
      </c>
      <c r="E1082" s="4" t="str">
        <f t="shared" si="211"/>
        <v>36</v>
      </c>
      <c r="F1082" s="4" t="str">
        <f>"28"</f>
        <v>28</v>
      </c>
      <c r="G1082" s="5">
        <v>71.76</v>
      </c>
      <c r="H1082" s="5" t="s">
        <v>14</v>
      </c>
      <c r="I1082" s="5">
        <v>69.7</v>
      </c>
      <c r="J1082" s="5" t="s">
        <v>14</v>
      </c>
      <c r="K1082" s="7">
        <v>70.32</v>
      </c>
      <c r="L1082" s="8">
        <v>12</v>
      </c>
      <c r="M1082" s="9"/>
    </row>
    <row r="1083" s="1" customFormat="1" ht="20.1" customHeight="1" spans="1:13">
      <c r="A1083" s="4" t="str">
        <f>"37502022022612590219134"</f>
        <v>37502022022612590219134</v>
      </c>
      <c r="B1083" s="4" t="s">
        <v>1069</v>
      </c>
      <c r="C1083" s="4" t="s">
        <v>1082</v>
      </c>
      <c r="D1083" s="4" t="str">
        <f>"20220183712"</f>
        <v>20220183712</v>
      </c>
      <c r="E1083" s="4" t="str">
        <f t="shared" ref="E1083:E1088" si="212">"37"</f>
        <v>37</v>
      </c>
      <c r="F1083" s="4" t="str">
        <f>"12"</f>
        <v>12</v>
      </c>
      <c r="G1083" s="5">
        <v>72.15</v>
      </c>
      <c r="H1083" s="5" t="s">
        <v>14</v>
      </c>
      <c r="I1083" s="5">
        <v>69</v>
      </c>
      <c r="J1083" s="5" t="s">
        <v>14</v>
      </c>
      <c r="K1083" s="7">
        <v>69.95</v>
      </c>
      <c r="L1083" s="8">
        <v>13</v>
      </c>
      <c r="M1083" s="9"/>
    </row>
    <row r="1084" s="1" customFormat="1" ht="20.1" customHeight="1" spans="1:13">
      <c r="A1084" s="4" t="str">
        <f>"37502022030116080423987"</f>
        <v>37502022030116080423987</v>
      </c>
      <c r="B1084" s="4" t="s">
        <v>1069</v>
      </c>
      <c r="C1084" s="4" t="s">
        <v>1083</v>
      </c>
      <c r="D1084" s="4" t="str">
        <f>"20220183624"</f>
        <v>20220183624</v>
      </c>
      <c r="E1084" s="4" t="str">
        <f t="shared" ref="E1084:E1089" si="213">"36"</f>
        <v>36</v>
      </c>
      <c r="F1084" s="4" t="str">
        <f>"24"</f>
        <v>24</v>
      </c>
      <c r="G1084" s="5">
        <v>68.34</v>
      </c>
      <c r="H1084" s="5" t="s">
        <v>14</v>
      </c>
      <c r="I1084" s="5">
        <v>69.4</v>
      </c>
      <c r="J1084" s="5" t="s">
        <v>14</v>
      </c>
      <c r="K1084" s="7">
        <v>69.08</v>
      </c>
      <c r="L1084" s="8">
        <v>14</v>
      </c>
      <c r="M1084" s="9"/>
    </row>
    <row r="1085" s="1" customFormat="1" ht="20.1" customHeight="1" spans="1:13">
      <c r="A1085" s="4" t="str">
        <f>"37502022022715510120381"</f>
        <v>37502022022715510120381</v>
      </c>
      <c r="B1085" s="4" t="s">
        <v>1069</v>
      </c>
      <c r="C1085" s="4" t="s">
        <v>1084</v>
      </c>
      <c r="D1085" s="4" t="str">
        <f>"20220183630"</f>
        <v>20220183630</v>
      </c>
      <c r="E1085" s="4" t="str">
        <f t="shared" si="213"/>
        <v>36</v>
      </c>
      <c r="F1085" s="4" t="str">
        <f>"30"</f>
        <v>30</v>
      </c>
      <c r="G1085" s="5">
        <v>66.26</v>
      </c>
      <c r="H1085" s="5" t="s">
        <v>14</v>
      </c>
      <c r="I1085" s="5">
        <v>70.2</v>
      </c>
      <c r="J1085" s="5" t="s">
        <v>14</v>
      </c>
      <c r="K1085" s="7">
        <v>69.02</v>
      </c>
      <c r="L1085" s="8">
        <v>15</v>
      </c>
      <c r="M1085" s="9"/>
    </row>
    <row r="1086" s="1" customFormat="1" ht="20.1" customHeight="1" spans="1:13">
      <c r="A1086" s="4" t="str">
        <f>"37502022030119093024312"</f>
        <v>37502022030119093024312</v>
      </c>
      <c r="B1086" s="4" t="s">
        <v>1069</v>
      </c>
      <c r="C1086" s="4" t="s">
        <v>1085</v>
      </c>
      <c r="D1086" s="4" t="str">
        <f>"20220183704"</f>
        <v>20220183704</v>
      </c>
      <c r="E1086" s="4" t="str">
        <f t="shared" si="212"/>
        <v>37</v>
      </c>
      <c r="F1086" s="4" t="str">
        <f>"04"</f>
        <v>04</v>
      </c>
      <c r="G1086" s="5">
        <v>69.23</v>
      </c>
      <c r="H1086" s="5" t="s">
        <v>14</v>
      </c>
      <c r="I1086" s="5">
        <v>68.7</v>
      </c>
      <c r="J1086" s="5" t="s">
        <v>14</v>
      </c>
      <c r="K1086" s="7">
        <v>68.86</v>
      </c>
      <c r="L1086" s="8">
        <v>16</v>
      </c>
      <c r="M1086" s="9"/>
    </row>
    <row r="1087" s="1" customFormat="1" ht="20.1" customHeight="1" spans="1:13">
      <c r="A1087" s="4" t="str">
        <f>"37502022030212055425177"</f>
        <v>37502022030212055425177</v>
      </c>
      <c r="B1087" s="4" t="s">
        <v>1069</v>
      </c>
      <c r="C1087" s="4" t="s">
        <v>1086</v>
      </c>
      <c r="D1087" s="4" t="str">
        <f>"20220183702"</f>
        <v>20220183702</v>
      </c>
      <c r="E1087" s="4" t="str">
        <f t="shared" si="212"/>
        <v>37</v>
      </c>
      <c r="F1087" s="4" t="str">
        <f>"02"</f>
        <v>02</v>
      </c>
      <c r="G1087" s="5">
        <v>64.57</v>
      </c>
      <c r="H1087" s="5" t="s">
        <v>14</v>
      </c>
      <c r="I1087" s="5">
        <v>69.7</v>
      </c>
      <c r="J1087" s="5" t="s">
        <v>14</v>
      </c>
      <c r="K1087" s="7">
        <v>68.16</v>
      </c>
      <c r="L1087" s="8">
        <v>17</v>
      </c>
      <c r="M1087" s="9"/>
    </row>
    <row r="1088" s="1" customFormat="1" ht="20.1" customHeight="1" spans="1:13">
      <c r="A1088" s="4" t="str">
        <f>"37502022030221054525982"</f>
        <v>37502022030221054525982</v>
      </c>
      <c r="B1088" s="4" t="s">
        <v>1069</v>
      </c>
      <c r="C1088" s="4" t="s">
        <v>1087</v>
      </c>
      <c r="D1088" s="4" t="str">
        <f>"20220183714"</f>
        <v>20220183714</v>
      </c>
      <c r="E1088" s="4" t="str">
        <f t="shared" si="212"/>
        <v>37</v>
      </c>
      <c r="F1088" s="4" t="str">
        <f>"14"</f>
        <v>14</v>
      </c>
      <c r="G1088" s="5">
        <v>71.64</v>
      </c>
      <c r="H1088" s="5" t="s">
        <v>14</v>
      </c>
      <c r="I1088" s="5">
        <v>65.4</v>
      </c>
      <c r="J1088" s="5" t="s">
        <v>14</v>
      </c>
      <c r="K1088" s="7">
        <v>67.27</v>
      </c>
      <c r="L1088" s="8">
        <v>18</v>
      </c>
      <c r="M1088" s="9"/>
    </row>
    <row r="1089" s="1" customFormat="1" ht="20.1" customHeight="1" spans="1:13">
      <c r="A1089" s="4" t="str">
        <f>"37502022022817084722773"</f>
        <v>37502022022817084722773</v>
      </c>
      <c r="B1089" s="4" t="s">
        <v>1069</v>
      </c>
      <c r="C1089" s="4" t="s">
        <v>1088</v>
      </c>
      <c r="D1089" s="4" t="str">
        <f>"20220183621"</f>
        <v>20220183621</v>
      </c>
      <c r="E1089" s="4" t="str">
        <f t="shared" si="213"/>
        <v>36</v>
      </c>
      <c r="F1089" s="4" t="str">
        <f>"21"</f>
        <v>21</v>
      </c>
      <c r="G1089" s="5">
        <v>70.46</v>
      </c>
      <c r="H1089" s="5" t="s">
        <v>14</v>
      </c>
      <c r="I1089" s="5">
        <v>64.7</v>
      </c>
      <c r="J1089" s="5" t="s">
        <v>14</v>
      </c>
      <c r="K1089" s="7">
        <v>66.43</v>
      </c>
      <c r="L1089" s="8">
        <v>19</v>
      </c>
      <c r="M1089" s="9"/>
    </row>
    <row r="1090" s="1" customFormat="1" ht="20.1" customHeight="1" spans="1:13">
      <c r="A1090" s="4" t="str">
        <f>"37502022030209281024920"</f>
        <v>37502022030209281024920</v>
      </c>
      <c r="B1090" s="4" t="s">
        <v>1069</v>
      </c>
      <c r="C1090" s="4" t="s">
        <v>1089</v>
      </c>
      <c r="D1090" s="4" t="str">
        <f>"20220183701"</f>
        <v>20220183701</v>
      </c>
      <c r="E1090" s="4" t="str">
        <f t="shared" ref="E1090:E1092" si="214">"37"</f>
        <v>37</v>
      </c>
      <c r="F1090" s="4" t="str">
        <f>"01"</f>
        <v>01</v>
      </c>
      <c r="G1090" s="5">
        <v>60.1</v>
      </c>
      <c r="H1090" s="5" t="s">
        <v>14</v>
      </c>
      <c r="I1090" s="5">
        <v>66.4</v>
      </c>
      <c r="J1090" s="5" t="s">
        <v>14</v>
      </c>
      <c r="K1090" s="7">
        <v>64.51</v>
      </c>
      <c r="L1090" s="8">
        <v>20</v>
      </c>
      <c r="M1090" s="9"/>
    </row>
    <row r="1091" s="1" customFormat="1" ht="20.1" customHeight="1" spans="1:13">
      <c r="A1091" s="4" t="str">
        <f>"37502022030121444924620"</f>
        <v>37502022030121444924620</v>
      </c>
      <c r="B1091" s="4" t="s">
        <v>1069</v>
      </c>
      <c r="C1091" s="4" t="s">
        <v>1090</v>
      </c>
      <c r="D1091" s="4" t="str">
        <f>"20220183715"</f>
        <v>20220183715</v>
      </c>
      <c r="E1091" s="4" t="str">
        <f t="shared" si="214"/>
        <v>37</v>
      </c>
      <c r="F1091" s="4" t="str">
        <f>"15"</f>
        <v>15</v>
      </c>
      <c r="G1091" s="5">
        <v>68.03</v>
      </c>
      <c r="H1091" s="5" t="s">
        <v>14</v>
      </c>
      <c r="I1091" s="5">
        <v>62.4</v>
      </c>
      <c r="J1091" s="5" t="s">
        <v>14</v>
      </c>
      <c r="K1091" s="7">
        <v>64.09</v>
      </c>
      <c r="L1091" s="8">
        <v>21</v>
      </c>
      <c r="M1091" s="9"/>
    </row>
    <row r="1092" s="1" customFormat="1" ht="20.1" customHeight="1" spans="1:13">
      <c r="A1092" s="4" t="str">
        <f>"37502022022612120719065"</f>
        <v>37502022022612120719065</v>
      </c>
      <c r="B1092" s="4" t="s">
        <v>1069</v>
      </c>
      <c r="C1092" s="4" t="s">
        <v>1091</v>
      </c>
      <c r="D1092" s="4" t="str">
        <f>"20220183710"</f>
        <v>20220183710</v>
      </c>
      <c r="E1092" s="4" t="str">
        <f t="shared" si="214"/>
        <v>37</v>
      </c>
      <c r="F1092" s="4" t="str">
        <f>"10"</f>
        <v>10</v>
      </c>
      <c r="G1092" s="5">
        <v>60.46</v>
      </c>
      <c r="H1092" s="5" t="s">
        <v>14</v>
      </c>
      <c r="I1092" s="5">
        <v>63.3</v>
      </c>
      <c r="J1092" s="5" t="s">
        <v>14</v>
      </c>
      <c r="K1092" s="7">
        <v>62.45</v>
      </c>
      <c r="L1092" s="8">
        <v>22</v>
      </c>
      <c r="M1092" s="9"/>
    </row>
    <row r="1093" s="1" customFormat="1" ht="20.1" customHeight="1" spans="1:13">
      <c r="A1093" s="4" t="str">
        <f>"37502022022609163018696"</f>
        <v>37502022022609163018696</v>
      </c>
      <c r="B1093" s="4" t="s">
        <v>1069</v>
      </c>
      <c r="C1093" s="4" t="s">
        <v>1092</v>
      </c>
      <c r="D1093" s="4" t="str">
        <f>"20220183627"</f>
        <v>20220183627</v>
      </c>
      <c r="E1093" s="4" t="str">
        <f t="shared" ref="E1093:E1097" si="215">"36"</f>
        <v>36</v>
      </c>
      <c r="F1093" s="4" t="str">
        <f>"27"</f>
        <v>27</v>
      </c>
      <c r="G1093" s="5">
        <v>0</v>
      </c>
      <c r="H1093" s="5" t="s">
        <v>74</v>
      </c>
      <c r="I1093" s="5">
        <v>0</v>
      </c>
      <c r="J1093" s="5" t="s">
        <v>74</v>
      </c>
      <c r="K1093" s="7">
        <v>0</v>
      </c>
      <c r="L1093" s="8">
        <v>23</v>
      </c>
      <c r="M1093" s="9"/>
    </row>
    <row r="1094" s="1" customFormat="1" ht="20.1" customHeight="1" spans="1:13">
      <c r="A1094" s="4" t="str">
        <f>"37502022022616214619380"</f>
        <v>37502022022616214619380</v>
      </c>
      <c r="B1094" s="4" t="s">
        <v>1069</v>
      </c>
      <c r="C1094" s="4" t="s">
        <v>1093</v>
      </c>
      <c r="D1094" s="4" t="str">
        <f>"20220183622"</f>
        <v>20220183622</v>
      </c>
      <c r="E1094" s="4" t="str">
        <f t="shared" si="215"/>
        <v>36</v>
      </c>
      <c r="F1094" s="4" t="str">
        <f>"22"</f>
        <v>22</v>
      </c>
      <c r="G1094" s="5">
        <v>0</v>
      </c>
      <c r="H1094" s="5" t="s">
        <v>74</v>
      </c>
      <c r="I1094" s="5">
        <v>0</v>
      </c>
      <c r="J1094" s="5" t="s">
        <v>74</v>
      </c>
      <c r="K1094" s="7">
        <v>0</v>
      </c>
      <c r="L1094" s="8">
        <v>23</v>
      </c>
      <c r="M1094" s="9"/>
    </row>
    <row r="1095" s="1" customFormat="1" ht="20.1" customHeight="1" spans="1:13">
      <c r="A1095" s="4" t="str">
        <f>"37502022022622143219747"</f>
        <v>37502022022622143219747</v>
      </c>
      <c r="B1095" s="4" t="s">
        <v>1069</v>
      </c>
      <c r="C1095" s="4" t="s">
        <v>1094</v>
      </c>
      <c r="D1095" s="4" t="str">
        <f>"20220183713"</f>
        <v>20220183713</v>
      </c>
      <c r="E1095" s="4" t="str">
        <f>"37"</f>
        <v>37</v>
      </c>
      <c r="F1095" s="4" t="str">
        <f>"13"</f>
        <v>13</v>
      </c>
      <c r="G1095" s="5">
        <v>0</v>
      </c>
      <c r="H1095" s="5" t="s">
        <v>74</v>
      </c>
      <c r="I1095" s="5">
        <v>0</v>
      </c>
      <c r="J1095" s="5" t="s">
        <v>74</v>
      </c>
      <c r="K1095" s="7">
        <v>0</v>
      </c>
      <c r="L1095" s="8">
        <v>23</v>
      </c>
      <c r="M1095" s="9"/>
    </row>
    <row r="1096" s="1" customFormat="1" ht="20.1" customHeight="1" spans="1:13">
      <c r="A1096" s="4" t="str">
        <f>"37502022030119544624407"</f>
        <v>37502022030119544624407</v>
      </c>
      <c r="B1096" s="4" t="s">
        <v>1069</v>
      </c>
      <c r="C1096" s="4" t="s">
        <v>1095</v>
      </c>
      <c r="D1096" s="4" t="str">
        <f>"20220183708"</f>
        <v>20220183708</v>
      </c>
      <c r="E1096" s="4" t="str">
        <f>"37"</f>
        <v>37</v>
      </c>
      <c r="F1096" s="4" t="str">
        <f>"08"</f>
        <v>08</v>
      </c>
      <c r="G1096" s="5">
        <v>0</v>
      </c>
      <c r="H1096" s="5" t="s">
        <v>74</v>
      </c>
      <c r="I1096" s="5">
        <v>0</v>
      </c>
      <c r="J1096" s="5" t="s">
        <v>74</v>
      </c>
      <c r="K1096" s="7">
        <v>0</v>
      </c>
      <c r="L1096" s="8">
        <v>23</v>
      </c>
      <c r="M1096" s="9"/>
    </row>
    <row r="1097" s="1" customFormat="1" ht="20.1" customHeight="1" spans="1:13">
      <c r="A1097" s="4" t="str">
        <f>"37502022030221571826064"</f>
        <v>37502022030221571826064</v>
      </c>
      <c r="B1097" s="4" t="s">
        <v>1069</v>
      </c>
      <c r="C1097" s="4" t="s">
        <v>1096</v>
      </c>
      <c r="D1097" s="4" t="str">
        <f>"20220183625"</f>
        <v>20220183625</v>
      </c>
      <c r="E1097" s="4" t="str">
        <f t="shared" si="215"/>
        <v>36</v>
      </c>
      <c r="F1097" s="4" t="str">
        <f>"25"</f>
        <v>25</v>
      </c>
      <c r="G1097" s="5">
        <v>0</v>
      </c>
      <c r="H1097" s="5" t="s">
        <v>74</v>
      </c>
      <c r="I1097" s="5">
        <v>0</v>
      </c>
      <c r="J1097" s="5" t="s">
        <v>74</v>
      </c>
      <c r="K1097" s="7">
        <v>0</v>
      </c>
      <c r="L1097" s="8">
        <v>23</v>
      </c>
      <c r="M1097" s="9"/>
    </row>
    <row r="1098" s="1" customFormat="1" ht="20.1" customHeight="1" spans="1:13">
      <c r="A1098" s="4" t="str">
        <f>"37502022030123101824731"</f>
        <v>37502022030123101824731</v>
      </c>
      <c r="B1098" s="4" t="s">
        <v>1097</v>
      </c>
      <c r="C1098" s="4" t="s">
        <v>885</v>
      </c>
      <c r="D1098" s="4" t="str">
        <f>"20220193807"</f>
        <v>20220193807</v>
      </c>
      <c r="E1098" s="4" t="str">
        <f t="shared" ref="E1098:E1100" si="216">"38"</f>
        <v>38</v>
      </c>
      <c r="F1098" s="4" t="str">
        <f>"07"</f>
        <v>07</v>
      </c>
      <c r="G1098" s="5">
        <v>71.16</v>
      </c>
      <c r="H1098" s="5" t="s">
        <v>14</v>
      </c>
      <c r="I1098" s="5">
        <v>80.8</v>
      </c>
      <c r="J1098" s="5" t="s">
        <v>14</v>
      </c>
      <c r="K1098" s="7">
        <v>77.91</v>
      </c>
      <c r="L1098" s="8">
        <v>1</v>
      </c>
      <c r="M1098" s="9"/>
    </row>
    <row r="1099" s="1" customFormat="1" ht="20.1" customHeight="1" spans="1:13">
      <c r="A1099" s="4" t="str">
        <f>"37502022022610090018838"</f>
        <v>37502022022610090018838</v>
      </c>
      <c r="B1099" s="4" t="s">
        <v>1097</v>
      </c>
      <c r="C1099" s="4" t="s">
        <v>1098</v>
      </c>
      <c r="D1099" s="4" t="str">
        <f>"20220193811"</f>
        <v>20220193811</v>
      </c>
      <c r="E1099" s="4" t="str">
        <f t="shared" si="216"/>
        <v>38</v>
      </c>
      <c r="F1099" s="4" t="str">
        <f>"11"</f>
        <v>11</v>
      </c>
      <c r="G1099" s="5">
        <v>75.2</v>
      </c>
      <c r="H1099" s="5" t="s">
        <v>14</v>
      </c>
      <c r="I1099" s="5">
        <v>78.5</v>
      </c>
      <c r="J1099" s="5" t="s">
        <v>14</v>
      </c>
      <c r="K1099" s="7">
        <v>77.51</v>
      </c>
      <c r="L1099" s="8">
        <v>2</v>
      </c>
      <c r="M1099" s="9"/>
    </row>
    <row r="1100" s="1" customFormat="1" ht="20.1" customHeight="1" spans="1:13">
      <c r="A1100" s="4" t="str">
        <f>"37502022030110471023438"</f>
        <v>37502022030110471023438</v>
      </c>
      <c r="B1100" s="4" t="s">
        <v>1097</v>
      </c>
      <c r="C1100" s="4" t="s">
        <v>1099</v>
      </c>
      <c r="D1100" s="4" t="str">
        <f>"20220193801"</f>
        <v>20220193801</v>
      </c>
      <c r="E1100" s="4" t="str">
        <f t="shared" si="216"/>
        <v>38</v>
      </c>
      <c r="F1100" s="4" t="str">
        <f>"01"</f>
        <v>01</v>
      </c>
      <c r="G1100" s="5">
        <v>81.61</v>
      </c>
      <c r="H1100" s="5" t="s">
        <v>14</v>
      </c>
      <c r="I1100" s="5">
        <v>73.7</v>
      </c>
      <c r="J1100" s="5" t="s">
        <v>14</v>
      </c>
      <c r="K1100" s="7">
        <v>76.07</v>
      </c>
      <c r="L1100" s="8">
        <v>3</v>
      </c>
      <c r="M1100" s="9"/>
    </row>
    <row r="1101" s="1" customFormat="1" ht="20.1" customHeight="1" spans="1:13">
      <c r="A1101" s="4" t="str">
        <f>"37502022022720422920843"</f>
        <v>37502022022720422920843</v>
      </c>
      <c r="B1101" s="4" t="s">
        <v>1097</v>
      </c>
      <c r="C1101" s="4" t="s">
        <v>1100</v>
      </c>
      <c r="D1101" s="4" t="str">
        <f>"20220193725"</f>
        <v>20220193725</v>
      </c>
      <c r="E1101" s="4" t="str">
        <f t="shared" ref="E1101:E1105" si="217">"37"</f>
        <v>37</v>
      </c>
      <c r="F1101" s="4" t="str">
        <f>"25"</f>
        <v>25</v>
      </c>
      <c r="G1101" s="5">
        <v>75.52</v>
      </c>
      <c r="H1101" s="5" t="s">
        <v>14</v>
      </c>
      <c r="I1101" s="5">
        <v>75.4</v>
      </c>
      <c r="J1101" s="5" t="s">
        <v>14</v>
      </c>
      <c r="K1101" s="7">
        <v>75.44</v>
      </c>
      <c r="L1101" s="8">
        <v>4</v>
      </c>
      <c r="M1101" s="9"/>
    </row>
    <row r="1102" s="1" customFormat="1" ht="20.1" customHeight="1" spans="1:13">
      <c r="A1102" s="4" t="str">
        <f>"37502022030120192324440"</f>
        <v>37502022030120192324440</v>
      </c>
      <c r="B1102" s="4" t="s">
        <v>1097</v>
      </c>
      <c r="C1102" s="4" t="s">
        <v>1101</v>
      </c>
      <c r="D1102" s="4" t="str">
        <f>"20220193720"</f>
        <v>20220193720</v>
      </c>
      <c r="E1102" s="4" t="str">
        <f t="shared" si="217"/>
        <v>37</v>
      </c>
      <c r="F1102" s="4" t="str">
        <f>"20"</f>
        <v>20</v>
      </c>
      <c r="G1102" s="5">
        <v>76.73</v>
      </c>
      <c r="H1102" s="5" t="s">
        <v>14</v>
      </c>
      <c r="I1102" s="5">
        <v>74.2</v>
      </c>
      <c r="J1102" s="5" t="s">
        <v>14</v>
      </c>
      <c r="K1102" s="7">
        <v>74.96</v>
      </c>
      <c r="L1102" s="8">
        <v>5</v>
      </c>
      <c r="M1102" s="9"/>
    </row>
    <row r="1103" s="1" customFormat="1" ht="20.1" customHeight="1" spans="1:13">
      <c r="A1103" s="4" t="str">
        <f>"37502022030222393826123"</f>
        <v>37502022030222393826123</v>
      </c>
      <c r="B1103" s="4" t="s">
        <v>1097</v>
      </c>
      <c r="C1103" s="4" t="s">
        <v>1102</v>
      </c>
      <c r="D1103" s="4" t="str">
        <f>"20220193724"</f>
        <v>20220193724</v>
      </c>
      <c r="E1103" s="4" t="str">
        <f t="shared" si="217"/>
        <v>37</v>
      </c>
      <c r="F1103" s="4" t="str">
        <f>"24"</f>
        <v>24</v>
      </c>
      <c r="G1103" s="5">
        <v>67.07</v>
      </c>
      <c r="H1103" s="5" t="s">
        <v>14</v>
      </c>
      <c r="I1103" s="5">
        <v>77.7</v>
      </c>
      <c r="J1103" s="5" t="s">
        <v>14</v>
      </c>
      <c r="K1103" s="7">
        <v>74.51</v>
      </c>
      <c r="L1103" s="8">
        <v>6</v>
      </c>
      <c r="M1103" s="9"/>
    </row>
    <row r="1104" s="1" customFormat="1" ht="20.1" customHeight="1" spans="1:13">
      <c r="A1104" s="4" t="str">
        <f>"37502022022815304722489"</f>
        <v>37502022022815304722489</v>
      </c>
      <c r="B1104" s="4" t="s">
        <v>1097</v>
      </c>
      <c r="C1104" s="4" t="s">
        <v>1103</v>
      </c>
      <c r="D1104" s="4" t="str">
        <f>"20220193726"</f>
        <v>20220193726</v>
      </c>
      <c r="E1104" s="4" t="str">
        <f t="shared" si="217"/>
        <v>37</v>
      </c>
      <c r="F1104" s="4" t="str">
        <f>"26"</f>
        <v>26</v>
      </c>
      <c r="G1104" s="5">
        <v>71.59</v>
      </c>
      <c r="H1104" s="5" t="s">
        <v>14</v>
      </c>
      <c r="I1104" s="5">
        <v>75.3</v>
      </c>
      <c r="J1104" s="5" t="s">
        <v>14</v>
      </c>
      <c r="K1104" s="7">
        <v>74.19</v>
      </c>
      <c r="L1104" s="8">
        <v>7</v>
      </c>
      <c r="M1104" s="9"/>
    </row>
    <row r="1105" s="1" customFormat="1" ht="20.1" customHeight="1" spans="1:13">
      <c r="A1105" s="4" t="str">
        <f>"37502022030110585623473"</f>
        <v>37502022030110585623473</v>
      </c>
      <c r="B1105" s="4" t="s">
        <v>1097</v>
      </c>
      <c r="C1105" s="4" t="s">
        <v>1104</v>
      </c>
      <c r="D1105" s="4" t="str">
        <f>"20220193723"</f>
        <v>20220193723</v>
      </c>
      <c r="E1105" s="4" t="str">
        <f t="shared" si="217"/>
        <v>37</v>
      </c>
      <c r="F1105" s="4" t="str">
        <f>"23"</f>
        <v>23</v>
      </c>
      <c r="G1105" s="5">
        <v>68.77</v>
      </c>
      <c r="H1105" s="5" t="s">
        <v>14</v>
      </c>
      <c r="I1105" s="5">
        <v>74.5</v>
      </c>
      <c r="J1105" s="5" t="s">
        <v>14</v>
      </c>
      <c r="K1105" s="7">
        <v>72.78</v>
      </c>
      <c r="L1105" s="8">
        <v>8</v>
      </c>
      <c r="M1105" s="9"/>
    </row>
    <row r="1106" s="1" customFormat="1" ht="20.1" customHeight="1" spans="1:13">
      <c r="A1106" s="4" t="str">
        <f>"37502022030211221925117"</f>
        <v>37502022030211221925117</v>
      </c>
      <c r="B1106" s="4" t="s">
        <v>1097</v>
      </c>
      <c r="C1106" s="4" t="s">
        <v>1105</v>
      </c>
      <c r="D1106" s="4" t="str">
        <f>"20220193806"</f>
        <v>20220193806</v>
      </c>
      <c r="E1106" s="4" t="str">
        <f t="shared" ref="E1106:E1109" si="218">"38"</f>
        <v>38</v>
      </c>
      <c r="F1106" s="4" t="str">
        <f>"06"</f>
        <v>06</v>
      </c>
      <c r="G1106" s="5">
        <v>65.33</v>
      </c>
      <c r="H1106" s="5" t="s">
        <v>14</v>
      </c>
      <c r="I1106" s="5">
        <v>73.6</v>
      </c>
      <c r="J1106" s="5" t="s">
        <v>14</v>
      </c>
      <c r="K1106" s="7">
        <v>71.12</v>
      </c>
      <c r="L1106" s="8">
        <v>9</v>
      </c>
      <c r="M1106" s="9"/>
    </row>
    <row r="1107" s="1" customFormat="1" ht="20.1" customHeight="1" spans="1:13">
      <c r="A1107" s="4" t="str">
        <f>"37502022030116081423988"</f>
        <v>37502022030116081423988</v>
      </c>
      <c r="B1107" s="4" t="s">
        <v>1097</v>
      </c>
      <c r="C1107" s="4" t="s">
        <v>41</v>
      </c>
      <c r="D1107" s="4" t="str">
        <f>"20220193722"</f>
        <v>20220193722</v>
      </c>
      <c r="E1107" s="4" t="str">
        <f t="shared" ref="E1107:E1113" si="219">"37"</f>
        <v>37</v>
      </c>
      <c r="F1107" s="4" t="str">
        <f>"22"</f>
        <v>22</v>
      </c>
      <c r="G1107" s="5">
        <v>73.15</v>
      </c>
      <c r="H1107" s="5" t="s">
        <v>14</v>
      </c>
      <c r="I1107" s="5">
        <v>69.9</v>
      </c>
      <c r="J1107" s="5" t="s">
        <v>14</v>
      </c>
      <c r="K1107" s="7">
        <v>70.88</v>
      </c>
      <c r="L1107" s="8">
        <v>10</v>
      </c>
      <c r="M1107" s="9"/>
    </row>
    <row r="1108" s="1" customFormat="1" ht="20.1" customHeight="1" spans="1:13">
      <c r="A1108" s="4" t="str">
        <f>"37502022022718171320574"</f>
        <v>37502022022718171320574</v>
      </c>
      <c r="B1108" s="4" t="s">
        <v>1097</v>
      </c>
      <c r="C1108" s="4" t="s">
        <v>1106</v>
      </c>
      <c r="D1108" s="4" t="str">
        <f>"20220193805"</f>
        <v>20220193805</v>
      </c>
      <c r="E1108" s="4" t="str">
        <f t="shared" si="218"/>
        <v>38</v>
      </c>
      <c r="F1108" s="4" t="str">
        <f>"05"</f>
        <v>05</v>
      </c>
      <c r="G1108" s="5">
        <v>63.59</v>
      </c>
      <c r="H1108" s="5" t="s">
        <v>14</v>
      </c>
      <c r="I1108" s="5">
        <v>73.3</v>
      </c>
      <c r="J1108" s="5" t="s">
        <v>14</v>
      </c>
      <c r="K1108" s="7">
        <v>70.39</v>
      </c>
      <c r="L1108" s="8">
        <v>11</v>
      </c>
      <c r="M1108" s="9"/>
    </row>
    <row r="1109" s="1" customFormat="1" ht="20.1" customHeight="1" spans="1:13">
      <c r="A1109" s="4" t="str">
        <f>"37502022030100142023091"</f>
        <v>37502022030100142023091</v>
      </c>
      <c r="B1109" s="4" t="s">
        <v>1097</v>
      </c>
      <c r="C1109" s="4" t="s">
        <v>1107</v>
      </c>
      <c r="D1109" s="4" t="str">
        <f>"20220193804"</f>
        <v>20220193804</v>
      </c>
      <c r="E1109" s="4" t="str">
        <f t="shared" si="218"/>
        <v>38</v>
      </c>
      <c r="F1109" s="4" t="str">
        <f>"04"</f>
        <v>04</v>
      </c>
      <c r="G1109" s="5">
        <v>68.25</v>
      </c>
      <c r="H1109" s="5" t="s">
        <v>14</v>
      </c>
      <c r="I1109" s="5">
        <v>71</v>
      </c>
      <c r="J1109" s="5" t="s">
        <v>14</v>
      </c>
      <c r="K1109" s="7">
        <v>70.18</v>
      </c>
      <c r="L1109" s="8">
        <v>12</v>
      </c>
      <c r="M1109" s="9"/>
    </row>
    <row r="1110" s="1" customFormat="1" ht="20.1" customHeight="1" spans="1:13">
      <c r="A1110" s="4" t="str">
        <f>"37502022030110404923429"</f>
        <v>37502022030110404923429</v>
      </c>
      <c r="B1110" s="4" t="s">
        <v>1097</v>
      </c>
      <c r="C1110" s="4" t="s">
        <v>1108</v>
      </c>
      <c r="D1110" s="4" t="str">
        <f>"20220193716"</f>
        <v>20220193716</v>
      </c>
      <c r="E1110" s="4" t="str">
        <f t="shared" si="219"/>
        <v>37</v>
      </c>
      <c r="F1110" s="4" t="str">
        <f>"16"</f>
        <v>16</v>
      </c>
      <c r="G1110" s="5">
        <v>64.96</v>
      </c>
      <c r="H1110" s="5" t="s">
        <v>14</v>
      </c>
      <c r="I1110" s="5">
        <v>69.8</v>
      </c>
      <c r="J1110" s="5" t="s">
        <v>14</v>
      </c>
      <c r="K1110" s="7">
        <v>68.35</v>
      </c>
      <c r="L1110" s="8">
        <v>13</v>
      </c>
      <c r="M1110" s="9"/>
    </row>
    <row r="1111" s="1" customFormat="1" ht="20.1" customHeight="1" spans="1:13">
      <c r="A1111" s="4" t="str">
        <f>"37502022030200173424762"</f>
        <v>37502022030200173424762</v>
      </c>
      <c r="B1111" s="4" t="s">
        <v>1097</v>
      </c>
      <c r="C1111" s="4" t="s">
        <v>1109</v>
      </c>
      <c r="D1111" s="4" t="str">
        <f>"20220193803"</f>
        <v>20220193803</v>
      </c>
      <c r="E1111" s="4" t="str">
        <f t="shared" ref="E1111:E1116" si="220">"38"</f>
        <v>38</v>
      </c>
      <c r="F1111" s="4" t="str">
        <f>"03"</f>
        <v>03</v>
      </c>
      <c r="G1111" s="5">
        <v>62.34</v>
      </c>
      <c r="H1111" s="5" t="s">
        <v>14</v>
      </c>
      <c r="I1111" s="5">
        <v>68</v>
      </c>
      <c r="J1111" s="5" t="s">
        <v>14</v>
      </c>
      <c r="K1111" s="7">
        <v>66.3</v>
      </c>
      <c r="L1111" s="8">
        <v>14</v>
      </c>
      <c r="M1111" s="9"/>
    </row>
    <row r="1112" s="1" customFormat="1" ht="20.1" customHeight="1" spans="1:13">
      <c r="A1112" s="4" t="str">
        <f>"37502022030109530923304"</f>
        <v>37502022030109530923304</v>
      </c>
      <c r="B1112" s="4" t="s">
        <v>1097</v>
      </c>
      <c r="C1112" s="4" t="s">
        <v>1110</v>
      </c>
      <c r="D1112" s="4" t="str">
        <f>"20220193719"</f>
        <v>20220193719</v>
      </c>
      <c r="E1112" s="4" t="str">
        <f t="shared" si="219"/>
        <v>37</v>
      </c>
      <c r="F1112" s="4" t="str">
        <f>"19"</f>
        <v>19</v>
      </c>
      <c r="G1112" s="5">
        <v>62.47</v>
      </c>
      <c r="H1112" s="5" t="s">
        <v>14</v>
      </c>
      <c r="I1112" s="5">
        <v>67.5</v>
      </c>
      <c r="J1112" s="5" t="s">
        <v>14</v>
      </c>
      <c r="K1112" s="7">
        <v>65.99</v>
      </c>
      <c r="L1112" s="8">
        <v>15</v>
      </c>
      <c r="M1112" s="9"/>
    </row>
    <row r="1113" s="1" customFormat="1" ht="20.1" customHeight="1" spans="1:13">
      <c r="A1113" s="4" t="str">
        <f>"37502022030119210324341"</f>
        <v>37502022030119210324341</v>
      </c>
      <c r="B1113" s="4" t="s">
        <v>1097</v>
      </c>
      <c r="C1113" s="4" t="s">
        <v>1111</v>
      </c>
      <c r="D1113" s="4" t="str">
        <f>"20220193729"</f>
        <v>20220193729</v>
      </c>
      <c r="E1113" s="4" t="str">
        <f t="shared" si="219"/>
        <v>37</v>
      </c>
      <c r="F1113" s="4" t="str">
        <f>"29"</f>
        <v>29</v>
      </c>
      <c r="G1113" s="5">
        <v>72.46</v>
      </c>
      <c r="H1113" s="5" t="s">
        <v>14</v>
      </c>
      <c r="I1113" s="5">
        <v>63.2</v>
      </c>
      <c r="J1113" s="5" t="s">
        <v>14</v>
      </c>
      <c r="K1113" s="7">
        <v>65.98</v>
      </c>
      <c r="L1113" s="8">
        <v>16</v>
      </c>
      <c r="M1113" s="9"/>
    </row>
    <row r="1114" s="1" customFormat="1" ht="20.1" customHeight="1" spans="1:13">
      <c r="A1114" s="4" t="str">
        <f>"37502022030207544624804"</f>
        <v>37502022030207544624804</v>
      </c>
      <c r="B1114" s="4" t="s">
        <v>1097</v>
      </c>
      <c r="C1114" s="4" t="s">
        <v>1112</v>
      </c>
      <c r="D1114" s="4" t="str">
        <f>"20220193802"</f>
        <v>20220193802</v>
      </c>
      <c r="E1114" s="4" t="str">
        <f t="shared" si="220"/>
        <v>38</v>
      </c>
      <c r="F1114" s="4" t="str">
        <f>"02"</f>
        <v>02</v>
      </c>
      <c r="G1114" s="5">
        <v>58.77</v>
      </c>
      <c r="H1114" s="5" t="s">
        <v>14</v>
      </c>
      <c r="I1114" s="5">
        <v>60</v>
      </c>
      <c r="J1114" s="5" t="s">
        <v>14</v>
      </c>
      <c r="K1114" s="7">
        <v>59.63</v>
      </c>
      <c r="L1114" s="8">
        <v>17</v>
      </c>
      <c r="M1114" s="9"/>
    </row>
    <row r="1115" s="1" customFormat="1" ht="20.1" customHeight="1" spans="1:13">
      <c r="A1115" s="4" t="str">
        <f>"37502022022610205818902"</f>
        <v>37502022022610205818902</v>
      </c>
      <c r="B1115" s="4" t="s">
        <v>1097</v>
      </c>
      <c r="C1115" s="4" t="s">
        <v>720</v>
      </c>
      <c r="D1115" s="4" t="str">
        <f>"20220193718"</f>
        <v>20220193718</v>
      </c>
      <c r="E1115" s="4" t="str">
        <f t="shared" ref="E1115:E1118" si="221">"37"</f>
        <v>37</v>
      </c>
      <c r="F1115" s="4" t="str">
        <f>"18"</f>
        <v>18</v>
      </c>
      <c r="G1115" s="5">
        <v>0</v>
      </c>
      <c r="H1115" s="5" t="s">
        <v>74</v>
      </c>
      <c r="I1115" s="5">
        <v>0</v>
      </c>
      <c r="J1115" s="5" t="s">
        <v>74</v>
      </c>
      <c r="K1115" s="7">
        <v>0</v>
      </c>
      <c r="L1115" s="8">
        <v>18</v>
      </c>
      <c r="M1115" s="9"/>
    </row>
    <row r="1116" s="1" customFormat="1" ht="20.1" customHeight="1" spans="1:13">
      <c r="A1116" s="4" t="str">
        <f>"37502022022716250520440"</f>
        <v>37502022022716250520440</v>
      </c>
      <c r="B1116" s="4" t="s">
        <v>1097</v>
      </c>
      <c r="C1116" s="4" t="s">
        <v>234</v>
      </c>
      <c r="D1116" s="4" t="str">
        <f>"20220193812"</f>
        <v>20220193812</v>
      </c>
      <c r="E1116" s="4" t="str">
        <f t="shared" si="220"/>
        <v>38</v>
      </c>
      <c r="F1116" s="4" t="str">
        <f>"12"</f>
        <v>12</v>
      </c>
      <c r="G1116" s="5">
        <v>0</v>
      </c>
      <c r="H1116" s="5" t="s">
        <v>74</v>
      </c>
      <c r="I1116" s="5">
        <v>0</v>
      </c>
      <c r="J1116" s="5" t="s">
        <v>74</v>
      </c>
      <c r="K1116" s="7">
        <v>0</v>
      </c>
      <c r="L1116" s="8">
        <v>18</v>
      </c>
      <c r="M1116" s="9"/>
    </row>
    <row r="1117" s="1" customFormat="1" ht="20.1" customHeight="1" spans="1:13">
      <c r="A1117" s="4" t="str">
        <f>"37502022022810115021567"</f>
        <v>37502022022810115021567</v>
      </c>
      <c r="B1117" s="4" t="s">
        <v>1097</v>
      </c>
      <c r="C1117" s="4" t="s">
        <v>1113</v>
      </c>
      <c r="D1117" s="4" t="str">
        <f>"20220193717"</f>
        <v>20220193717</v>
      </c>
      <c r="E1117" s="4" t="str">
        <f t="shared" si="221"/>
        <v>37</v>
      </c>
      <c r="F1117" s="4" t="str">
        <f>"17"</f>
        <v>17</v>
      </c>
      <c r="G1117" s="5">
        <v>0</v>
      </c>
      <c r="H1117" s="5" t="s">
        <v>74</v>
      </c>
      <c r="I1117" s="5">
        <v>0</v>
      </c>
      <c r="J1117" s="5" t="s">
        <v>74</v>
      </c>
      <c r="K1117" s="7">
        <v>0</v>
      </c>
      <c r="L1117" s="8">
        <v>18</v>
      </c>
      <c r="M1117" s="9"/>
    </row>
    <row r="1118" s="1" customFormat="1" ht="20.1" customHeight="1" spans="1:13">
      <c r="A1118" s="4" t="str">
        <f>"37502022022822442623065"</f>
        <v>37502022022822442623065</v>
      </c>
      <c r="B1118" s="4" t="s">
        <v>1097</v>
      </c>
      <c r="C1118" s="4" t="s">
        <v>451</v>
      </c>
      <c r="D1118" s="4" t="str">
        <f>"20220193730"</f>
        <v>20220193730</v>
      </c>
      <c r="E1118" s="4" t="str">
        <f t="shared" si="221"/>
        <v>37</v>
      </c>
      <c r="F1118" s="4" t="str">
        <f>"30"</f>
        <v>30</v>
      </c>
      <c r="G1118" s="5">
        <v>0</v>
      </c>
      <c r="H1118" s="5" t="s">
        <v>74</v>
      </c>
      <c r="I1118" s="5">
        <v>0</v>
      </c>
      <c r="J1118" s="5" t="s">
        <v>74</v>
      </c>
      <c r="K1118" s="7">
        <v>0</v>
      </c>
      <c r="L1118" s="8">
        <v>18</v>
      </c>
      <c r="M1118" s="9"/>
    </row>
    <row r="1119" s="1" customFormat="1" ht="20.1" customHeight="1" spans="1:13">
      <c r="A1119" s="4" t="str">
        <f>"37502022030102122823098"</f>
        <v>37502022030102122823098</v>
      </c>
      <c r="B1119" s="4" t="s">
        <v>1097</v>
      </c>
      <c r="C1119" s="4" t="s">
        <v>1114</v>
      </c>
      <c r="D1119" s="4" t="str">
        <f>"20220193813"</f>
        <v>20220193813</v>
      </c>
      <c r="E1119" s="4" t="str">
        <f t="shared" ref="E1119:E1121" si="222">"38"</f>
        <v>38</v>
      </c>
      <c r="F1119" s="4" t="str">
        <f>"13"</f>
        <v>13</v>
      </c>
      <c r="G1119" s="5">
        <v>0</v>
      </c>
      <c r="H1119" s="5" t="s">
        <v>74</v>
      </c>
      <c r="I1119" s="5">
        <v>0</v>
      </c>
      <c r="J1119" s="5" t="s">
        <v>74</v>
      </c>
      <c r="K1119" s="7">
        <v>0</v>
      </c>
      <c r="L1119" s="8">
        <v>18</v>
      </c>
      <c r="M1119" s="9"/>
    </row>
    <row r="1120" s="1" customFormat="1" ht="20.1" customHeight="1" spans="1:13">
      <c r="A1120" s="4" t="str">
        <f>"37502022030114465623852"</f>
        <v>37502022030114465623852</v>
      </c>
      <c r="B1120" s="4" t="s">
        <v>1097</v>
      </c>
      <c r="C1120" s="4" t="s">
        <v>1115</v>
      </c>
      <c r="D1120" s="4" t="str">
        <f>"20220193808"</f>
        <v>20220193808</v>
      </c>
      <c r="E1120" s="4" t="str">
        <f t="shared" si="222"/>
        <v>38</v>
      </c>
      <c r="F1120" s="4" t="str">
        <f>"08"</f>
        <v>08</v>
      </c>
      <c r="G1120" s="5">
        <v>0</v>
      </c>
      <c r="H1120" s="5" t="s">
        <v>74</v>
      </c>
      <c r="I1120" s="5">
        <v>0</v>
      </c>
      <c r="J1120" s="5" t="s">
        <v>74</v>
      </c>
      <c r="K1120" s="7">
        <v>0</v>
      </c>
      <c r="L1120" s="8">
        <v>18</v>
      </c>
      <c r="M1120" s="9"/>
    </row>
    <row r="1121" s="1" customFormat="1" ht="20.1" customHeight="1" spans="1:13">
      <c r="A1121" s="4" t="str">
        <f>"37502022030114554823866"</f>
        <v>37502022030114554823866</v>
      </c>
      <c r="B1121" s="4" t="s">
        <v>1097</v>
      </c>
      <c r="C1121" s="4" t="s">
        <v>37</v>
      </c>
      <c r="D1121" s="4" t="str">
        <f>"20220193809"</f>
        <v>20220193809</v>
      </c>
      <c r="E1121" s="4" t="str">
        <f t="shared" si="222"/>
        <v>38</v>
      </c>
      <c r="F1121" s="4" t="str">
        <f>"09"</f>
        <v>09</v>
      </c>
      <c r="G1121" s="5">
        <v>0</v>
      </c>
      <c r="H1121" s="5" t="s">
        <v>74</v>
      </c>
      <c r="I1121" s="5">
        <v>0</v>
      </c>
      <c r="J1121" s="5" t="s">
        <v>74</v>
      </c>
      <c r="K1121" s="7">
        <v>0</v>
      </c>
      <c r="L1121" s="8">
        <v>18</v>
      </c>
      <c r="M1121" s="9"/>
    </row>
    <row r="1122" s="1" customFormat="1" ht="20.1" customHeight="1" spans="1:13">
      <c r="A1122" s="4" t="str">
        <f>"37502022030116561024080"</f>
        <v>37502022030116561024080</v>
      </c>
      <c r="B1122" s="4" t="s">
        <v>1097</v>
      </c>
      <c r="C1122" s="4" t="s">
        <v>1116</v>
      </c>
      <c r="D1122" s="4" t="str">
        <f>"20220193727"</f>
        <v>20220193727</v>
      </c>
      <c r="E1122" s="4" t="str">
        <f t="shared" ref="E1122:E1125" si="223">"37"</f>
        <v>37</v>
      </c>
      <c r="F1122" s="4" t="str">
        <f>"27"</f>
        <v>27</v>
      </c>
      <c r="G1122" s="5">
        <v>0</v>
      </c>
      <c r="H1122" s="5" t="s">
        <v>74</v>
      </c>
      <c r="I1122" s="5">
        <v>0</v>
      </c>
      <c r="J1122" s="5" t="s">
        <v>74</v>
      </c>
      <c r="K1122" s="7">
        <v>0</v>
      </c>
      <c r="L1122" s="8">
        <v>18</v>
      </c>
      <c r="M1122" s="9"/>
    </row>
    <row r="1123" s="1" customFormat="1" ht="20.1" customHeight="1" spans="1:13">
      <c r="A1123" s="4" t="str">
        <f>"37502022030209383124937"</f>
        <v>37502022030209383124937</v>
      </c>
      <c r="B1123" s="4" t="s">
        <v>1097</v>
      </c>
      <c r="C1123" s="4" t="s">
        <v>1117</v>
      </c>
      <c r="D1123" s="4" t="str">
        <f>"20220193721"</f>
        <v>20220193721</v>
      </c>
      <c r="E1123" s="4" t="str">
        <f t="shared" si="223"/>
        <v>37</v>
      </c>
      <c r="F1123" s="4" t="str">
        <f>"21"</f>
        <v>21</v>
      </c>
      <c r="G1123" s="5">
        <v>0</v>
      </c>
      <c r="H1123" s="5" t="s">
        <v>74</v>
      </c>
      <c r="I1123" s="5">
        <v>0</v>
      </c>
      <c r="J1123" s="5" t="s">
        <v>74</v>
      </c>
      <c r="K1123" s="7">
        <v>0</v>
      </c>
      <c r="L1123" s="8">
        <v>18</v>
      </c>
      <c r="M1123" s="9"/>
    </row>
    <row r="1124" s="1" customFormat="1" ht="20.1" customHeight="1" spans="1:13">
      <c r="A1124" s="4" t="str">
        <f>"37502022030211152125107"</f>
        <v>37502022030211152125107</v>
      </c>
      <c r="B1124" s="4" t="s">
        <v>1097</v>
      </c>
      <c r="C1124" s="4" t="s">
        <v>1118</v>
      </c>
      <c r="D1124" s="4" t="str">
        <f>"20220193810"</f>
        <v>20220193810</v>
      </c>
      <c r="E1124" s="4" t="str">
        <f t="shared" ref="E1124:E1134" si="224">"38"</f>
        <v>38</v>
      </c>
      <c r="F1124" s="4" t="str">
        <f>"10"</f>
        <v>10</v>
      </c>
      <c r="G1124" s="5">
        <v>0</v>
      </c>
      <c r="H1124" s="5" t="s">
        <v>74</v>
      </c>
      <c r="I1124" s="5">
        <v>0</v>
      </c>
      <c r="J1124" s="5" t="s">
        <v>74</v>
      </c>
      <c r="K1124" s="7">
        <v>0</v>
      </c>
      <c r="L1124" s="8">
        <v>18</v>
      </c>
      <c r="M1124" s="9"/>
    </row>
    <row r="1125" s="1" customFormat="1" ht="20.1" customHeight="1" spans="1:13">
      <c r="A1125" s="4" t="str">
        <f>"37502022030213405225323"</f>
        <v>37502022030213405225323</v>
      </c>
      <c r="B1125" s="4" t="s">
        <v>1097</v>
      </c>
      <c r="C1125" s="4" t="s">
        <v>1119</v>
      </c>
      <c r="D1125" s="4" t="str">
        <f>"20220193728"</f>
        <v>20220193728</v>
      </c>
      <c r="E1125" s="4" t="str">
        <f t="shared" si="223"/>
        <v>37</v>
      </c>
      <c r="F1125" s="4" t="str">
        <f>"28"</f>
        <v>28</v>
      </c>
      <c r="G1125" s="5">
        <v>0</v>
      </c>
      <c r="H1125" s="5" t="s">
        <v>74</v>
      </c>
      <c r="I1125" s="5">
        <v>0</v>
      </c>
      <c r="J1125" s="5" t="s">
        <v>74</v>
      </c>
      <c r="K1125" s="7">
        <v>0</v>
      </c>
      <c r="L1125" s="8">
        <v>18</v>
      </c>
      <c r="M1125" s="9"/>
    </row>
    <row r="1126" s="1" customFormat="1" ht="20.1" customHeight="1" spans="1:13">
      <c r="A1126" s="4" t="str">
        <f>"37502022022610174518893"</f>
        <v>37502022022610174518893</v>
      </c>
      <c r="B1126" s="4" t="s">
        <v>1120</v>
      </c>
      <c r="C1126" s="4" t="s">
        <v>1121</v>
      </c>
      <c r="D1126" s="4" t="str">
        <f>"20220203818"</f>
        <v>20220203818</v>
      </c>
      <c r="E1126" s="4" t="str">
        <f t="shared" si="224"/>
        <v>38</v>
      </c>
      <c r="F1126" s="4" t="str">
        <f>"18"</f>
        <v>18</v>
      </c>
      <c r="G1126" s="5">
        <v>74.31</v>
      </c>
      <c r="H1126" s="5" t="s">
        <v>14</v>
      </c>
      <c r="I1126" s="5">
        <v>84.7</v>
      </c>
      <c r="J1126" s="5" t="s">
        <v>14</v>
      </c>
      <c r="K1126" s="7">
        <v>81.58</v>
      </c>
      <c r="L1126" s="8">
        <v>1</v>
      </c>
      <c r="M1126" s="9"/>
    </row>
    <row r="1127" s="1" customFormat="1" ht="20.1" customHeight="1" spans="1:13">
      <c r="A1127" s="4" t="str">
        <f>"37502022030118225624221"</f>
        <v>37502022030118225624221</v>
      </c>
      <c r="B1127" s="4" t="s">
        <v>1120</v>
      </c>
      <c r="C1127" s="4" t="s">
        <v>1122</v>
      </c>
      <c r="D1127" s="4" t="str">
        <f>"20220203825"</f>
        <v>20220203825</v>
      </c>
      <c r="E1127" s="4" t="str">
        <f t="shared" si="224"/>
        <v>38</v>
      </c>
      <c r="F1127" s="4" t="str">
        <f>"25"</f>
        <v>25</v>
      </c>
      <c r="G1127" s="5">
        <v>78.14</v>
      </c>
      <c r="H1127" s="5" t="s">
        <v>14</v>
      </c>
      <c r="I1127" s="5">
        <v>82.2</v>
      </c>
      <c r="J1127" s="5" t="s">
        <v>14</v>
      </c>
      <c r="K1127" s="7">
        <v>80.98</v>
      </c>
      <c r="L1127" s="8">
        <v>2</v>
      </c>
      <c r="M1127" s="9"/>
    </row>
    <row r="1128" s="1" customFormat="1" ht="20.1" customHeight="1" spans="1:13">
      <c r="A1128" s="4" t="str">
        <f>"37502022022714263020251"</f>
        <v>37502022022714263020251</v>
      </c>
      <c r="B1128" s="4" t="s">
        <v>1120</v>
      </c>
      <c r="C1128" s="4" t="s">
        <v>1123</v>
      </c>
      <c r="D1128" s="4" t="str">
        <f>"20220203816"</f>
        <v>20220203816</v>
      </c>
      <c r="E1128" s="4" t="str">
        <f t="shared" si="224"/>
        <v>38</v>
      </c>
      <c r="F1128" s="4" t="str">
        <f>"16"</f>
        <v>16</v>
      </c>
      <c r="G1128" s="5">
        <v>75.06</v>
      </c>
      <c r="H1128" s="5" t="s">
        <v>14</v>
      </c>
      <c r="I1128" s="5">
        <v>79.3</v>
      </c>
      <c r="J1128" s="5" t="s">
        <v>14</v>
      </c>
      <c r="K1128" s="7">
        <v>78.03</v>
      </c>
      <c r="L1128" s="8">
        <v>3</v>
      </c>
      <c r="M1128" s="9"/>
    </row>
    <row r="1129" s="1" customFormat="1" ht="20.1" customHeight="1" spans="1:13">
      <c r="A1129" s="4" t="str">
        <f>"37502022030111331223544"</f>
        <v>37502022030111331223544</v>
      </c>
      <c r="B1129" s="4" t="s">
        <v>1120</v>
      </c>
      <c r="C1129" s="4" t="s">
        <v>1124</v>
      </c>
      <c r="D1129" s="4" t="str">
        <f>"20220203815"</f>
        <v>20220203815</v>
      </c>
      <c r="E1129" s="4" t="str">
        <f t="shared" si="224"/>
        <v>38</v>
      </c>
      <c r="F1129" s="4" t="str">
        <f>"15"</f>
        <v>15</v>
      </c>
      <c r="G1129" s="5">
        <v>71.47</v>
      </c>
      <c r="H1129" s="5" t="s">
        <v>14</v>
      </c>
      <c r="I1129" s="5">
        <v>79.7</v>
      </c>
      <c r="J1129" s="5" t="s">
        <v>14</v>
      </c>
      <c r="K1129" s="7">
        <v>77.23</v>
      </c>
      <c r="L1129" s="8">
        <v>4</v>
      </c>
      <c r="M1129" s="9"/>
    </row>
    <row r="1130" s="1" customFormat="1" ht="20.1" customHeight="1" spans="1:13">
      <c r="A1130" s="4" t="str">
        <f>"37502022030108085423119"</f>
        <v>37502022030108085423119</v>
      </c>
      <c r="B1130" s="4" t="s">
        <v>1120</v>
      </c>
      <c r="C1130" s="4" t="s">
        <v>1125</v>
      </c>
      <c r="D1130" s="4" t="str">
        <f>"20220203830"</f>
        <v>20220203830</v>
      </c>
      <c r="E1130" s="4" t="str">
        <f t="shared" si="224"/>
        <v>38</v>
      </c>
      <c r="F1130" s="4" t="str">
        <f>"30"</f>
        <v>30</v>
      </c>
      <c r="G1130" s="5">
        <v>71.53</v>
      </c>
      <c r="H1130" s="5" t="s">
        <v>14</v>
      </c>
      <c r="I1130" s="5">
        <v>78.3</v>
      </c>
      <c r="J1130" s="5" t="s">
        <v>14</v>
      </c>
      <c r="K1130" s="7">
        <v>76.27</v>
      </c>
      <c r="L1130" s="8">
        <v>5</v>
      </c>
      <c r="M1130" s="9"/>
    </row>
    <row r="1131" s="1" customFormat="1" ht="20.1" customHeight="1" spans="1:13">
      <c r="A1131" s="4" t="str">
        <f>"37502022030209425224944"</f>
        <v>37502022030209425224944</v>
      </c>
      <c r="B1131" s="4" t="s">
        <v>1120</v>
      </c>
      <c r="C1131" s="4" t="s">
        <v>1126</v>
      </c>
      <c r="D1131" s="4" t="str">
        <f>"20220203820"</f>
        <v>20220203820</v>
      </c>
      <c r="E1131" s="4" t="str">
        <f t="shared" si="224"/>
        <v>38</v>
      </c>
      <c r="F1131" s="4" t="str">
        <f>"20"</f>
        <v>20</v>
      </c>
      <c r="G1131" s="5">
        <v>73.95</v>
      </c>
      <c r="H1131" s="5" t="s">
        <v>14</v>
      </c>
      <c r="I1131" s="5">
        <v>76.4</v>
      </c>
      <c r="J1131" s="5" t="s">
        <v>14</v>
      </c>
      <c r="K1131" s="7">
        <v>75.67</v>
      </c>
      <c r="L1131" s="8">
        <v>6</v>
      </c>
      <c r="M1131" s="9"/>
    </row>
    <row r="1132" s="1" customFormat="1" ht="20.1" customHeight="1" spans="1:13">
      <c r="A1132" s="4" t="str">
        <f>"37502022030117564324176"</f>
        <v>37502022030117564324176</v>
      </c>
      <c r="B1132" s="4" t="s">
        <v>1120</v>
      </c>
      <c r="C1132" s="4" t="s">
        <v>1127</v>
      </c>
      <c r="D1132" s="4" t="str">
        <f>"20220203829"</f>
        <v>20220203829</v>
      </c>
      <c r="E1132" s="4" t="str">
        <f t="shared" si="224"/>
        <v>38</v>
      </c>
      <c r="F1132" s="4" t="str">
        <f>"29"</f>
        <v>29</v>
      </c>
      <c r="G1132" s="5">
        <v>67.55</v>
      </c>
      <c r="H1132" s="5" t="s">
        <v>14</v>
      </c>
      <c r="I1132" s="5">
        <v>77.5</v>
      </c>
      <c r="J1132" s="5" t="s">
        <v>14</v>
      </c>
      <c r="K1132" s="7">
        <v>74.52</v>
      </c>
      <c r="L1132" s="8">
        <v>7</v>
      </c>
      <c r="M1132" s="9"/>
    </row>
    <row r="1133" s="1" customFormat="1" ht="20.1" customHeight="1" spans="1:13">
      <c r="A1133" s="4" t="str">
        <f>"37502022022609370718740"</f>
        <v>37502022022609370718740</v>
      </c>
      <c r="B1133" s="4" t="s">
        <v>1120</v>
      </c>
      <c r="C1133" s="4" t="s">
        <v>572</v>
      </c>
      <c r="D1133" s="4" t="str">
        <f>"20220203827"</f>
        <v>20220203827</v>
      </c>
      <c r="E1133" s="4" t="str">
        <f t="shared" si="224"/>
        <v>38</v>
      </c>
      <c r="F1133" s="4" t="str">
        <f>"27"</f>
        <v>27</v>
      </c>
      <c r="G1133" s="5">
        <v>68.66</v>
      </c>
      <c r="H1133" s="5" t="s">
        <v>14</v>
      </c>
      <c r="I1133" s="5">
        <v>77</v>
      </c>
      <c r="J1133" s="5" t="s">
        <v>14</v>
      </c>
      <c r="K1133" s="7">
        <v>74.5</v>
      </c>
      <c r="L1133" s="8">
        <v>8</v>
      </c>
      <c r="M1133" s="9"/>
    </row>
    <row r="1134" s="1" customFormat="1" ht="20.1" customHeight="1" spans="1:13">
      <c r="A1134" s="4" t="str">
        <f>"37502022030122164724667"</f>
        <v>37502022030122164724667</v>
      </c>
      <c r="B1134" s="4" t="s">
        <v>1120</v>
      </c>
      <c r="C1134" s="4" t="s">
        <v>1128</v>
      </c>
      <c r="D1134" s="4" t="str">
        <f>"20220203814"</f>
        <v>20220203814</v>
      </c>
      <c r="E1134" s="4" t="str">
        <f t="shared" si="224"/>
        <v>38</v>
      </c>
      <c r="F1134" s="4" t="str">
        <f>"14"</f>
        <v>14</v>
      </c>
      <c r="G1134" s="5">
        <v>78.3</v>
      </c>
      <c r="H1134" s="5" t="s">
        <v>14</v>
      </c>
      <c r="I1134" s="5">
        <v>72.8</v>
      </c>
      <c r="J1134" s="5" t="s">
        <v>14</v>
      </c>
      <c r="K1134" s="7">
        <v>74.45</v>
      </c>
      <c r="L1134" s="8">
        <v>9</v>
      </c>
      <c r="M1134" s="9"/>
    </row>
    <row r="1135" s="1" customFormat="1" ht="20.1" customHeight="1" spans="1:13">
      <c r="A1135" s="4" t="str">
        <f>"37502022022608024418610"</f>
        <v>37502022022608024418610</v>
      </c>
      <c r="B1135" s="4" t="s">
        <v>1120</v>
      </c>
      <c r="C1135" s="4" t="s">
        <v>1129</v>
      </c>
      <c r="D1135" s="4" t="str">
        <f>"20220203903"</f>
        <v>20220203903</v>
      </c>
      <c r="E1135" s="4" t="str">
        <f>"39"</f>
        <v>39</v>
      </c>
      <c r="F1135" s="4" t="str">
        <f>"03"</f>
        <v>03</v>
      </c>
      <c r="G1135" s="5">
        <v>67.11</v>
      </c>
      <c r="H1135" s="5" t="s">
        <v>14</v>
      </c>
      <c r="I1135" s="5">
        <v>74.2</v>
      </c>
      <c r="J1135" s="5" t="s">
        <v>14</v>
      </c>
      <c r="K1135" s="7">
        <v>72.07</v>
      </c>
      <c r="L1135" s="8">
        <v>10</v>
      </c>
      <c r="M1135" s="9"/>
    </row>
    <row r="1136" s="1" customFormat="1" ht="20.1" customHeight="1" spans="1:13">
      <c r="A1136" s="4" t="str">
        <f>"37502022022718011120552"</f>
        <v>37502022022718011120552</v>
      </c>
      <c r="B1136" s="4" t="s">
        <v>1120</v>
      </c>
      <c r="C1136" s="4" t="s">
        <v>1130</v>
      </c>
      <c r="D1136" s="4" t="str">
        <f>"20220203824"</f>
        <v>20220203824</v>
      </c>
      <c r="E1136" s="4" t="str">
        <f t="shared" ref="E1136:E1140" si="225">"38"</f>
        <v>38</v>
      </c>
      <c r="F1136" s="4" t="str">
        <f>"24"</f>
        <v>24</v>
      </c>
      <c r="G1136" s="5">
        <v>74.03</v>
      </c>
      <c r="H1136" s="5" t="s">
        <v>14</v>
      </c>
      <c r="I1136" s="5">
        <v>71</v>
      </c>
      <c r="J1136" s="5" t="s">
        <v>14</v>
      </c>
      <c r="K1136" s="7">
        <v>71.91</v>
      </c>
      <c r="L1136" s="8">
        <v>11</v>
      </c>
      <c r="M1136" s="9"/>
    </row>
    <row r="1137" s="1" customFormat="1" ht="20.1" customHeight="1" spans="1:13">
      <c r="A1137" s="4" t="str">
        <f>"37502022030110033223332"</f>
        <v>37502022030110033223332</v>
      </c>
      <c r="B1137" s="4" t="s">
        <v>1120</v>
      </c>
      <c r="C1137" s="4" t="s">
        <v>1131</v>
      </c>
      <c r="D1137" s="4" t="str">
        <f>"20220203819"</f>
        <v>20220203819</v>
      </c>
      <c r="E1137" s="4" t="str">
        <f t="shared" si="225"/>
        <v>38</v>
      </c>
      <c r="F1137" s="4" t="str">
        <f>"19"</f>
        <v>19</v>
      </c>
      <c r="G1137" s="5">
        <v>69.81</v>
      </c>
      <c r="H1137" s="5" t="s">
        <v>14</v>
      </c>
      <c r="I1137" s="5">
        <v>71.9</v>
      </c>
      <c r="J1137" s="5" t="s">
        <v>14</v>
      </c>
      <c r="K1137" s="7">
        <v>71.27</v>
      </c>
      <c r="L1137" s="8">
        <v>12</v>
      </c>
      <c r="M1137" s="9"/>
    </row>
    <row r="1138" s="1" customFormat="1" ht="20.1" customHeight="1" spans="1:13">
      <c r="A1138" s="4" t="str">
        <f>"37502022022820204222951"</f>
        <v>37502022022820204222951</v>
      </c>
      <c r="B1138" s="4" t="s">
        <v>1120</v>
      </c>
      <c r="C1138" s="4" t="s">
        <v>1132</v>
      </c>
      <c r="D1138" s="4" t="str">
        <f>"20220203901"</f>
        <v>20220203901</v>
      </c>
      <c r="E1138" s="4" t="str">
        <f>"39"</f>
        <v>39</v>
      </c>
      <c r="F1138" s="4" t="str">
        <f>"01"</f>
        <v>01</v>
      </c>
      <c r="G1138" s="5">
        <v>63.24</v>
      </c>
      <c r="H1138" s="5" t="s">
        <v>14</v>
      </c>
      <c r="I1138" s="5">
        <v>73.1</v>
      </c>
      <c r="J1138" s="5" t="s">
        <v>14</v>
      </c>
      <c r="K1138" s="7">
        <v>70.14</v>
      </c>
      <c r="L1138" s="8">
        <v>13</v>
      </c>
      <c r="M1138" s="9"/>
    </row>
    <row r="1139" s="1" customFormat="1" ht="20.1" customHeight="1" spans="1:13">
      <c r="A1139" s="4" t="str">
        <f>"37502022022609030218674"</f>
        <v>37502022022609030218674</v>
      </c>
      <c r="B1139" s="4" t="s">
        <v>1120</v>
      </c>
      <c r="C1139" s="4" t="s">
        <v>1133</v>
      </c>
      <c r="D1139" s="4" t="str">
        <f>"20220203823"</f>
        <v>20220203823</v>
      </c>
      <c r="E1139" s="4" t="str">
        <f t="shared" si="225"/>
        <v>38</v>
      </c>
      <c r="F1139" s="4" t="str">
        <f>"23"</f>
        <v>23</v>
      </c>
      <c r="G1139" s="5">
        <v>65.59</v>
      </c>
      <c r="H1139" s="5" t="s">
        <v>14</v>
      </c>
      <c r="I1139" s="5">
        <v>71.9</v>
      </c>
      <c r="J1139" s="5" t="s">
        <v>14</v>
      </c>
      <c r="K1139" s="7">
        <v>70.01</v>
      </c>
      <c r="L1139" s="8">
        <v>14</v>
      </c>
      <c r="M1139" s="9"/>
    </row>
    <row r="1140" s="1" customFormat="1" ht="20.1" customHeight="1" spans="1:13">
      <c r="A1140" s="4" t="str">
        <f>"37502022030211054925095"</f>
        <v>37502022030211054925095</v>
      </c>
      <c r="B1140" s="4" t="s">
        <v>1120</v>
      </c>
      <c r="C1140" s="4" t="s">
        <v>1134</v>
      </c>
      <c r="D1140" s="4" t="str">
        <f>"20220203817"</f>
        <v>20220203817</v>
      </c>
      <c r="E1140" s="4" t="str">
        <f t="shared" si="225"/>
        <v>38</v>
      </c>
      <c r="F1140" s="4" t="str">
        <f>"17"</f>
        <v>17</v>
      </c>
      <c r="G1140" s="5">
        <v>58.61</v>
      </c>
      <c r="H1140" s="5" t="s">
        <v>14</v>
      </c>
      <c r="I1140" s="5">
        <v>74</v>
      </c>
      <c r="J1140" s="5" t="s">
        <v>14</v>
      </c>
      <c r="K1140" s="7">
        <v>69.38</v>
      </c>
      <c r="L1140" s="8">
        <v>15</v>
      </c>
      <c r="M1140" s="9"/>
    </row>
    <row r="1141" s="1" customFormat="1" ht="20.1" customHeight="1" spans="1:13">
      <c r="A1141" s="4" t="str">
        <f>"37502022022611505019040"</f>
        <v>37502022022611505019040</v>
      </c>
      <c r="B1141" s="4" t="s">
        <v>1120</v>
      </c>
      <c r="C1141" s="4" t="s">
        <v>1135</v>
      </c>
      <c r="D1141" s="4" t="str">
        <f>"20220203902"</f>
        <v>20220203902</v>
      </c>
      <c r="E1141" s="4" t="str">
        <f>"39"</f>
        <v>39</v>
      </c>
      <c r="F1141" s="4" t="str">
        <f>"02"</f>
        <v>02</v>
      </c>
      <c r="G1141" s="5">
        <v>67.08</v>
      </c>
      <c r="H1141" s="5" t="s">
        <v>14</v>
      </c>
      <c r="I1141" s="5">
        <v>69.6</v>
      </c>
      <c r="J1141" s="5" t="s">
        <v>14</v>
      </c>
      <c r="K1141" s="7">
        <v>68.84</v>
      </c>
      <c r="L1141" s="8">
        <v>16</v>
      </c>
      <c r="M1141" s="9"/>
    </row>
    <row r="1142" s="1" customFormat="1" ht="20.1" customHeight="1" spans="1:13">
      <c r="A1142" s="4" t="str">
        <f>"37502022022816274722679"</f>
        <v>37502022022816274722679</v>
      </c>
      <c r="B1142" s="4" t="s">
        <v>1120</v>
      </c>
      <c r="C1142" s="4" t="s">
        <v>1136</v>
      </c>
      <c r="D1142" s="4" t="str">
        <f>"20220203821"</f>
        <v>20220203821</v>
      </c>
      <c r="E1142" s="4" t="str">
        <f t="shared" ref="E1142:E1144" si="226">"38"</f>
        <v>38</v>
      </c>
      <c r="F1142" s="4" t="str">
        <f>"21"</f>
        <v>21</v>
      </c>
      <c r="G1142" s="5">
        <v>67.03</v>
      </c>
      <c r="H1142" s="5" t="s">
        <v>14</v>
      </c>
      <c r="I1142" s="5">
        <v>67.9</v>
      </c>
      <c r="J1142" s="5" t="s">
        <v>14</v>
      </c>
      <c r="K1142" s="7">
        <v>67.64</v>
      </c>
      <c r="L1142" s="8">
        <v>17</v>
      </c>
      <c r="M1142" s="9"/>
    </row>
    <row r="1143" s="1" customFormat="1" ht="20.1" customHeight="1" spans="1:13">
      <c r="A1143" s="4" t="str">
        <f>"37502022022810525221693"</f>
        <v>37502022022810525221693</v>
      </c>
      <c r="B1143" s="4" t="s">
        <v>1120</v>
      </c>
      <c r="C1143" s="4" t="s">
        <v>1137</v>
      </c>
      <c r="D1143" s="4" t="str">
        <f>"20220203828"</f>
        <v>20220203828</v>
      </c>
      <c r="E1143" s="4" t="str">
        <f t="shared" si="226"/>
        <v>38</v>
      </c>
      <c r="F1143" s="4" t="str">
        <f>"28"</f>
        <v>28</v>
      </c>
      <c r="G1143" s="5">
        <v>0</v>
      </c>
      <c r="H1143" s="5" t="s">
        <v>74</v>
      </c>
      <c r="I1143" s="5">
        <v>0</v>
      </c>
      <c r="J1143" s="5" t="s">
        <v>74</v>
      </c>
      <c r="K1143" s="7">
        <v>0</v>
      </c>
      <c r="L1143" s="8">
        <v>18</v>
      </c>
      <c r="M1143" s="9"/>
    </row>
    <row r="1144" s="1" customFormat="1" ht="20.1" customHeight="1" spans="1:13">
      <c r="A1144" s="4" t="str">
        <f>"37502022022815402922529"</f>
        <v>37502022022815402922529</v>
      </c>
      <c r="B1144" s="4" t="s">
        <v>1120</v>
      </c>
      <c r="C1144" s="4" t="s">
        <v>1138</v>
      </c>
      <c r="D1144" s="4" t="str">
        <f>"20220203822"</f>
        <v>20220203822</v>
      </c>
      <c r="E1144" s="4" t="str">
        <f t="shared" si="226"/>
        <v>38</v>
      </c>
      <c r="F1144" s="4" t="str">
        <f>"22"</f>
        <v>22</v>
      </c>
      <c r="G1144" s="5">
        <v>0</v>
      </c>
      <c r="H1144" s="5" t="s">
        <v>74</v>
      </c>
      <c r="I1144" s="5">
        <v>0</v>
      </c>
      <c r="J1144" s="5" t="s">
        <v>74</v>
      </c>
      <c r="K1144" s="7">
        <v>0</v>
      </c>
      <c r="L1144" s="8">
        <v>18</v>
      </c>
      <c r="M1144" s="9"/>
    </row>
    <row r="1145" s="1" customFormat="1" ht="20.1" customHeight="1" spans="1:13">
      <c r="A1145" s="4" t="str">
        <f>"37502022030109340623255"</f>
        <v>37502022030109340623255</v>
      </c>
      <c r="B1145" s="4" t="s">
        <v>1120</v>
      </c>
      <c r="C1145" s="4" t="s">
        <v>1139</v>
      </c>
      <c r="D1145" s="4" t="str">
        <f>"20220203904"</f>
        <v>20220203904</v>
      </c>
      <c r="E1145" s="4" t="str">
        <f t="shared" ref="E1145:E1171" si="227">"39"</f>
        <v>39</v>
      </c>
      <c r="F1145" s="4" t="str">
        <f>"04"</f>
        <v>04</v>
      </c>
      <c r="G1145" s="5">
        <v>0</v>
      </c>
      <c r="H1145" s="5" t="s">
        <v>74</v>
      </c>
      <c r="I1145" s="5">
        <v>0</v>
      </c>
      <c r="J1145" s="5" t="s">
        <v>74</v>
      </c>
      <c r="K1145" s="7">
        <v>0</v>
      </c>
      <c r="L1145" s="8">
        <v>18</v>
      </c>
      <c r="M1145" s="9"/>
    </row>
    <row r="1146" s="1" customFormat="1" ht="20.1" customHeight="1" spans="1:13">
      <c r="A1146" s="4" t="str">
        <f>"37502022030114255323827"</f>
        <v>37502022030114255323827</v>
      </c>
      <c r="B1146" s="4" t="s">
        <v>1120</v>
      </c>
      <c r="C1146" s="4" t="s">
        <v>1140</v>
      </c>
      <c r="D1146" s="4" t="str">
        <f>"20220203826"</f>
        <v>20220203826</v>
      </c>
      <c r="E1146" s="4" t="str">
        <f>"38"</f>
        <v>38</v>
      </c>
      <c r="F1146" s="4" t="str">
        <f>"26"</f>
        <v>26</v>
      </c>
      <c r="G1146" s="5">
        <v>0</v>
      </c>
      <c r="H1146" s="5" t="s">
        <v>74</v>
      </c>
      <c r="I1146" s="5">
        <v>0</v>
      </c>
      <c r="J1146" s="5" t="s">
        <v>74</v>
      </c>
      <c r="K1146" s="7">
        <v>0</v>
      </c>
      <c r="L1146" s="8">
        <v>18</v>
      </c>
      <c r="M1146" s="9"/>
    </row>
    <row r="1147" s="1" customFormat="1" ht="20.1" customHeight="1" spans="1:13">
      <c r="A1147" s="4" t="str">
        <f>"37502022030111502323576"</f>
        <v>37502022030111502323576</v>
      </c>
      <c r="B1147" s="4" t="s">
        <v>1141</v>
      </c>
      <c r="C1147" s="4" t="s">
        <v>1142</v>
      </c>
      <c r="D1147" s="4" t="str">
        <f>"20220213919"</f>
        <v>20220213919</v>
      </c>
      <c r="E1147" s="4" t="str">
        <f t="shared" si="227"/>
        <v>39</v>
      </c>
      <c r="F1147" s="4" t="str">
        <f>"19"</f>
        <v>19</v>
      </c>
      <c r="G1147" s="5">
        <v>77.51</v>
      </c>
      <c r="H1147" s="5" t="s">
        <v>14</v>
      </c>
      <c r="I1147" s="5">
        <v>81.4</v>
      </c>
      <c r="J1147" s="5" t="s">
        <v>14</v>
      </c>
      <c r="K1147" s="7">
        <v>80.23</v>
      </c>
      <c r="L1147" s="8">
        <v>1</v>
      </c>
      <c r="M1147" s="9"/>
    </row>
    <row r="1148" s="1" customFormat="1" ht="20.1" customHeight="1" spans="1:13">
      <c r="A1148" s="4" t="str">
        <f>"37502022022610134618874"</f>
        <v>37502022022610134618874</v>
      </c>
      <c r="B1148" s="4" t="s">
        <v>1141</v>
      </c>
      <c r="C1148" s="4" t="s">
        <v>1143</v>
      </c>
      <c r="D1148" s="4" t="str">
        <f>"20220213910"</f>
        <v>20220213910</v>
      </c>
      <c r="E1148" s="4" t="str">
        <f t="shared" si="227"/>
        <v>39</v>
      </c>
      <c r="F1148" s="4" t="str">
        <f>"10"</f>
        <v>10</v>
      </c>
      <c r="G1148" s="5">
        <v>76.54</v>
      </c>
      <c r="H1148" s="5" t="s">
        <v>14</v>
      </c>
      <c r="I1148" s="5">
        <v>78.2</v>
      </c>
      <c r="J1148" s="5" t="s">
        <v>14</v>
      </c>
      <c r="K1148" s="7">
        <v>77.7</v>
      </c>
      <c r="L1148" s="8">
        <v>2</v>
      </c>
      <c r="M1148" s="9"/>
    </row>
    <row r="1149" s="1" customFormat="1" ht="20.1" customHeight="1" spans="1:13">
      <c r="A1149" s="4" t="str">
        <f>"37502022022609415218771"</f>
        <v>37502022022609415218771</v>
      </c>
      <c r="B1149" s="4" t="s">
        <v>1141</v>
      </c>
      <c r="C1149" s="4" t="s">
        <v>1144</v>
      </c>
      <c r="D1149" s="4" t="str">
        <f>"20220213906"</f>
        <v>20220213906</v>
      </c>
      <c r="E1149" s="4" t="str">
        <f t="shared" si="227"/>
        <v>39</v>
      </c>
      <c r="F1149" s="4" t="str">
        <f>"06"</f>
        <v>06</v>
      </c>
      <c r="G1149" s="5">
        <v>68.98</v>
      </c>
      <c r="H1149" s="5" t="s">
        <v>14</v>
      </c>
      <c r="I1149" s="5">
        <v>78.4</v>
      </c>
      <c r="J1149" s="5" t="s">
        <v>14</v>
      </c>
      <c r="K1149" s="7">
        <v>75.57</v>
      </c>
      <c r="L1149" s="8">
        <v>3</v>
      </c>
      <c r="M1149" s="9"/>
    </row>
    <row r="1150" s="1" customFormat="1" ht="20.1" customHeight="1" spans="1:13">
      <c r="A1150" s="4" t="str">
        <f>"37502022030115414523941"</f>
        <v>37502022030115414523941</v>
      </c>
      <c r="B1150" s="4" t="s">
        <v>1141</v>
      </c>
      <c r="C1150" s="4" t="s">
        <v>1145</v>
      </c>
      <c r="D1150" s="4" t="str">
        <f>"20220213921"</f>
        <v>20220213921</v>
      </c>
      <c r="E1150" s="4" t="str">
        <f t="shared" si="227"/>
        <v>39</v>
      </c>
      <c r="F1150" s="4" t="str">
        <f>"21"</f>
        <v>21</v>
      </c>
      <c r="G1150" s="5">
        <v>72.33</v>
      </c>
      <c r="H1150" s="5" t="s">
        <v>14</v>
      </c>
      <c r="I1150" s="5">
        <v>76.1</v>
      </c>
      <c r="J1150" s="5" t="s">
        <v>14</v>
      </c>
      <c r="K1150" s="7">
        <v>74.97</v>
      </c>
      <c r="L1150" s="8">
        <v>4</v>
      </c>
      <c r="M1150" s="9"/>
    </row>
    <row r="1151" s="1" customFormat="1" ht="20.1" customHeight="1" spans="1:13">
      <c r="A1151" s="4" t="str">
        <f>"37502022022819105922879"</f>
        <v>37502022022819105922879</v>
      </c>
      <c r="B1151" s="4" t="s">
        <v>1141</v>
      </c>
      <c r="C1151" s="4" t="s">
        <v>1146</v>
      </c>
      <c r="D1151" s="4" t="str">
        <f>"20220213928"</f>
        <v>20220213928</v>
      </c>
      <c r="E1151" s="4" t="str">
        <f t="shared" si="227"/>
        <v>39</v>
      </c>
      <c r="F1151" s="4" t="str">
        <f>"28"</f>
        <v>28</v>
      </c>
      <c r="G1151" s="5">
        <v>73.11</v>
      </c>
      <c r="H1151" s="5" t="s">
        <v>14</v>
      </c>
      <c r="I1151" s="5">
        <v>75.3</v>
      </c>
      <c r="J1151" s="5" t="s">
        <v>14</v>
      </c>
      <c r="K1151" s="7">
        <v>74.64</v>
      </c>
      <c r="L1151" s="8">
        <v>5</v>
      </c>
      <c r="M1151" s="9"/>
    </row>
    <row r="1152" s="1" customFormat="1" ht="20.1" customHeight="1" spans="1:13">
      <c r="A1152" s="4" t="str">
        <f>"37502022030116364424031"</f>
        <v>37502022030116364424031</v>
      </c>
      <c r="B1152" s="4" t="s">
        <v>1141</v>
      </c>
      <c r="C1152" s="4" t="s">
        <v>1147</v>
      </c>
      <c r="D1152" s="4" t="str">
        <f>"20220213905"</f>
        <v>20220213905</v>
      </c>
      <c r="E1152" s="4" t="str">
        <f t="shared" si="227"/>
        <v>39</v>
      </c>
      <c r="F1152" s="4" t="str">
        <f>"05"</f>
        <v>05</v>
      </c>
      <c r="G1152" s="5">
        <v>66.59</v>
      </c>
      <c r="H1152" s="5" t="s">
        <v>14</v>
      </c>
      <c r="I1152" s="5">
        <v>77</v>
      </c>
      <c r="J1152" s="5" t="s">
        <v>14</v>
      </c>
      <c r="K1152" s="7">
        <v>73.88</v>
      </c>
      <c r="L1152" s="8">
        <v>6</v>
      </c>
      <c r="M1152" s="9"/>
    </row>
    <row r="1153" s="1" customFormat="1" ht="20.1" customHeight="1" spans="1:13">
      <c r="A1153" s="4" t="str">
        <f>"37502022030217310425627"</f>
        <v>37502022030217310425627</v>
      </c>
      <c r="B1153" s="4" t="s">
        <v>1141</v>
      </c>
      <c r="C1153" s="4" t="s">
        <v>1148</v>
      </c>
      <c r="D1153" s="4" t="str">
        <f>"20220213922"</f>
        <v>20220213922</v>
      </c>
      <c r="E1153" s="4" t="str">
        <f t="shared" si="227"/>
        <v>39</v>
      </c>
      <c r="F1153" s="4" t="str">
        <f>"22"</f>
        <v>22</v>
      </c>
      <c r="G1153" s="5">
        <v>78.16</v>
      </c>
      <c r="H1153" s="5" t="s">
        <v>14</v>
      </c>
      <c r="I1153" s="5">
        <v>70.8</v>
      </c>
      <c r="J1153" s="5" t="s">
        <v>14</v>
      </c>
      <c r="K1153" s="7">
        <v>73.01</v>
      </c>
      <c r="L1153" s="8">
        <v>7</v>
      </c>
      <c r="M1153" s="9"/>
    </row>
    <row r="1154" s="1" customFormat="1" ht="20.1" customHeight="1" spans="1:13">
      <c r="A1154" s="4" t="str">
        <f>"37502022030118222424218"</f>
        <v>37502022030118222424218</v>
      </c>
      <c r="B1154" s="4" t="s">
        <v>1141</v>
      </c>
      <c r="C1154" s="4" t="s">
        <v>1149</v>
      </c>
      <c r="D1154" s="4" t="str">
        <f>"20220213917"</f>
        <v>20220213917</v>
      </c>
      <c r="E1154" s="4" t="str">
        <f t="shared" si="227"/>
        <v>39</v>
      </c>
      <c r="F1154" s="4" t="str">
        <f>"17"</f>
        <v>17</v>
      </c>
      <c r="G1154" s="5">
        <v>67.83</v>
      </c>
      <c r="H1154" s="5" t="s">
        <v>14</v>
      </c>
      <c r="I1154" s="5">
        <v>73.4</v>
      </c>
      <c r="J1154" s="5" t="s">
        <v>14</v>
      </c>
      <c r="K1154" s="7">
        <v>71.73</v>
      </c>
      <c r="L1154" s="8">
        <v>8</v>
      </c>
      <c r="M1154" s="9"/>
    </row>
    <row r="1155" s="1" customFormat="1" ht="20.1" customHeight="1" spans="1:13">
      <c r="A1155" s="4" t="str">
        <f>"37502022022610223418909"</f>
        <v>37502022022610223418909</v>
      </c>
      <c r="B1155" s="4" t="s">
        <v>1141</v>
      </c>
      <c r="C1155" s="4" t="s">
        <v>574</v>
      </c>
      <c r="D1155" s="4" t="str">
        <f>"20220213920"</f>
        <v>20220213920</v>
      </c>
      <c r="E1155" s="4" t="str">
        <f t="shared" si="227"/>
        <v>39</v>
      </c>
      <c r="F1155" s="4" t="str">
        <f>"20"</f>
        <v>20</v>
      </c>
      <c r="G1155" s="5">
        <v>70.64</v>
      </c>
      <c r="H1155" s="5" t="s">
        <v>14</v>
      </c>
      <c r="I1155" s="5">
        <v>71.4</v>
      </c>
      <c r="J1155" s="5" t="s">
        <v>14</v>
      </c>
      <c r="K1155" s="7">
        <v>71.17</v>
      </c>
      <c r="L1155" s="8">
        <v>9</v>
      </c>
      <c r="M1155" s="9"/>
    </row>
    <row r="1156" s="1" customFormat="1" ht="20.1" customHeight="1" spans="1:13">
      <c r="A1156" s="4" t="str">
        <f>"37502022030114312823838"</f>
        <v>37502022030114312823838</v>
      </c>
      <c r="B1156" s="4" t="s">
        <v>1141</v>
      </c>
      <c r="C1156" s="4" t="s">
        <v>1150</v>
      </c>
      <c r="D1156" s="4" t="str">
        <f>"20220213909"</f>
        <v>20220213909</v>
      </c>
      <c r="E1156" s="4" t="str">
        <f t="shared" si="227"/>
        <v>39</v>
      </c>
      <c r="F1156" s="4" t="str">
        <f>"09"</f>
        <v>09</v>
      </c>
      <c r="G1156" s="5">
        <v>70.08</v>
      </c>
      <c r="H1156" s="5" t="s">
        <v>14</v>
      </c>
      <c r="I1156" s="5">
        <v>70.2</v>
      </c>
      <c r="J1156" s="5" t="s">
        <v>14</v>
      </c>
      <c r="K1156" s="7">
        <v>70.16</v>
      </c>
      <c r="L1156" s="8">
        <v>10</v>
      </c>
      <c r="M1156" s="9"/>
    </row>
    <row r="1157" s="1" customFormat="1" ht="20.1" customHeight="1" spans="1:13">
      <c r="A1157" s="4" t="str">
        <f>"37502022030116373024032"</f>
        <v>37502022030116373024032</v>
      </c>
      <c r="B1157" s="4" t="s">
        <v>1141</v>
      </c>
      <c r="C1157" s="4" t="s">
        <v>1151</v>
      </c>
      <c r="D1157" s="4" t="str">
        <f>"20220213926"</f>
        <v>20220213926</v>
      </c>
      <c r="E1157" s="4" t="str">
        <f t="shared" si="227"/>
        <v>39</v>
      </c>
      <c r="F1157" s="4" t="str">
        <f>"26"</f>
        <v>26</v>
      </c>
      <c r="G1157" s="5">
        <v>69.3</v>
      </c>
      <c r="H1157" s="5" t="s">
        <v>14</v>
      </c>
      <c r="I1157" s="5">
        <v>70.3</v>
      </c>
      <c r="J1157" s="5" t="s">
        <v>14</v>
      </c>
      <c r="K1157" s="7">
        <v>70</v>
      </c>
      <c r="L1157" s="8">
        <v>11</v>
      </c>
      <c r="M1157" s="9"/>
    </row>
    <row r="1158" s="1" customFormat="1" ht="20.1" customHeight="1" spans="1:13">
      <c r="A1158" s="4" t="str">
        <f>"37502022030117163224119"</f>
        <v>37502022030117163224119</v>
      </c>
      <c r="B1158" s="4" t="s">
        <v>1141</v>
      </c>
      <c r="C1158" s="4" t="s">
        <v>1152</v>
      </c>
      <c r="D1158" s="4" t="str">
        <f>"20220213918"</f>
        <v>20220213918</v>
      </c>
      <c r="E1158" s="4" t="str">
        <f t="shared" si="227"/>
        <v>39</v>
      </c>
      <c r="F1158" s="4" t="str">
        <f>"18"</f>
        <v>18</v>
      </c>
      <c r="G1158" s="5">
        <v>71.86</v>
      </c>
      <c r="H1158" s="5" t="s">
        <v>14</v>
      </c>
      <c r="I1158" s="5">
        <v>68.5</v>
      </c>
      <c r="J1158" s="5" t="s">
        <v>14</v>
      </c>
      <c r="K1158" s="7">
        <v>69.51</v>
      </c>
      <c r="L1158" s="8">
        <v>12</v>
      </c>
      <c r="M1158" s="9"/>
    </row>
    <row r="1159" s="1" customFormat="1" ht="20.1" customHeight="1" spans="1:13">
      <c r="A1159" s="4" t="str">
        <f>"37502022030120452024502"</f>
        <v>37502022030120452024502</v>
      </c>
      <c r="B1159" s="4" t="s">
        <v>1141</v>
      </c>
      <c r="C1159" s="4" t="s">
        <v>1153</v>
      </c>
      <c r="D1159" s="4" t="str">
        <f>"20220213929"</f>
        <v>20220213929</v>
      </c>
      <c r="E1159" s="4" t="str">
        <f t="shared" si="227"/>
        <v>39</v>
      </c>
      <c r="F1159" s="4" t="str">
        <f>"29"</f>
        <v>29</v>
      </c>
      <c r="G1159" s="5">
        <v>62.48</v>
      </c>
      <c r="H1159" s="5" t="s">
        <v>14</v>
      </c>
      <c r="I1159" s="5">
        <v>72</v>
      </c>
      <c r="J1159" s="5" t="s">
        <v>14</v>
      </c>
      <c r="K1159" s="7">
        <v>69.14</v>
      </c>
      <c r="L1159" s="8">
        <v>13</v>
      </c>
      <c r="M1159" s="9"/>
    </row>
    <row r="1160" s="1" customFormat="1" ht="20.1" customHeight="1" spans="1:13">
      <c r="A1160" s="4" t="str">
        <f>"37502022030219035525768"</f>
        <v>37502022030219035525768</v>
      </c>
      <c r="B1160" s="4" t="s">
        <v>1141</v>
      </c>
      <c r="C1160" s="4" t="s">
        <v>1154</v>
      </c>
      <c r="D1160" s="4" t="str">
        <f>"20220213912"</f>
        <v>20220213912</v>
      </c>
      <c r="E1160" s="4" t="str">
        <f t="shared" si="227"/>
        <v>39</v>
      </c>
      <c r="F1160" s="4" t="str">
        <f>"12"</f>
        <v>12</v>
      </c>
      <c r="G1160" s="5">
        <v>78.97</v>
      </c>
      <c r="H1160" s="5" t="s">
        <v>14</v>
      </c>
      <c r="I1160" s="5">
        <v>63.5</v>
      </c>
      <c r="J1160" s="5" t="s">
        <v>14</v>
      </c>
      <c r="K1160" s="7">
        <v>68.14</v>
      </c>
      <c r="L1160" s="8">
        <v>14</v>
      </c>
      <c r="M1160" s="9"/>
    </row>
    <row r="1161" s="1" customFormat="1" ht="20.1" customHeight="1" spans="1:13">
      <c r="A1161" s="4" t="str">
        <f>"37502022030219030425764"</f>
        <v>37502022030219030425764</v>
      </c>
      <c r="B1161" s="4" t="s">
        <v>1141</v>
      </c>
      <c r="C1161" s="4" t="s">
        <v>1155</v>
      </c>
      <c r="D1161" s="4" t="str">
        <f>"20220213923"</f>
        <v>20220213923</v>
      </c>
      <c r="E1161" s="4" t="str">
        <f t="shared" si="227"/>
        <v>39</v>
      </c>
      <c r="F1161" s="4" t="str">
        <f>"23"</f>
        <v>23</v>
      </c>
      <c r="G1161" s="5">
        <v>61.85</v>
      </c>
      <c r="H1161" s="5" t="s">
        <v>14</v>
      </c>
      <c r="I1161" s="5">
        <v>67.9</v>
      </c>
      <c r="J1161" s="5" t="s">
        <v>14</v>
      </c>
      <c r="K1161" s="7">
        <v>66.09</v>
      </c>
      <c r="L1161" s="8">
        <v>15</v>
      </c>
      <c r="M1161" s="9"/>
    </row>
    <row r="1162" s="1" customFormat="1" ht="20.1" customHeight="1" spans="1:13">
      <c r="A1162" s="4" t="str">
        <f>"37502022030217423125641"</f>
        <v>37502022030217423125641</v>
      </c>
      <c r="B1162" s="4" t="s">
        <v>1141</v>
      </c>
      <c r="C1162" s="4" t="s">
        <v>1156</v>
      </c>
      <c r="D1162" s="4" t="str">
        <f>"20220213915"</f>
        <v>20220213915</v>
      </c>
      <c r="E1162" s="4" t="str">
        <f t="shared" si="227"/>
        <v>39</v>
      </c>
      <c r="F1162" s="4" t="str">
        <f>"15"</f>
        <v>15</v>
      </c>
      <c r="G1162" s="5">
        <v>72.59</v>
      </c>
      <c r="H1162" s="5" t="s">
        <v>14</v>
      </c>
      <c r="I1162" s="5">
        <v>63.1</v>
      </c>
      <c r="J1162" s="5" t="s">
        <v>14</v>
      </c>
      <c r="K1162" s="7">
        <v>65.95</v>
      </c>
      <c r="L1162" s="8">
        <v>16</v>
      </c>
      <c r="M1162" s="9"/>
    </row>
    <row r="1163" s="1" customFormat="1" ht="20.1" customHeight="1" spans="1:13">
      <c r="A1163" s="4" t="str">
        <f>"37502022022816170522642"</f>
        <v>37502022022816170522642</v>
      </c>
      <c r="B1163" s="4" t="s">
        <v>1141</v>
      </c>
      <c r="C1163" s="4" t="s">
        <v>1157</v>
      </c>
      <c r="D1163" s="4" t="str">
        <f>"20220213916"</f>
        <v>20220213916</v>
      </c>
      <c r="E1163" s="4" t="str">
        <f t="shared" si="227"/>
        <v>39</v>
      </c>
      <c r="F1163" s="4" t="str">
        <f>"16"</f>
        <v>16</v>
      </c>
      <c r="G1163" s="5">
        <v>62.99</v>
      </c>
      <c r="H1163" s="5" t="s">
        <v>14</v>
      </c>
      <c r="I1163" s="5">
        <v>66.4</v>
      </c>
      <c r="J1163" s="5" t="s">
        <v>14</v>
      </c>
      <c r="K1163" s="7">
        <v>65.38</v>
      </c>
      <c r="L1163" s="8">
        <v>17</v>
      </c>
      <c r="M1163" s="9"/>
    </row>
    <row r="1164" s="1" customFormat="1" ht="20.1" customHeight="1" spans="1:13">
      <c r="A1164" s="4" t="str">
        <f>"37502022022610592418975"</f>
        <v>37502022022610592418975</v>
      </c>
      <c r="B1164" s="4" t="s">
        <v>1141</v>
      </c>
      <c r="C1164" s="4" t="s">
        <v>1158</v>
      </c>
      <c r="D1164" s="4" t="str">
        <f>"20220213913"</f>
        <v>20220213913</v>
      </c>
      <c r="E1164" s="4" t="str">
        <f t="shared" si="227"/>
        <v>39</v>
      </c>
      <c r="F1164" s="4" t="str">
        <f>"13"</f>
        <v>13</v>
      </c>
      <c r="G1164" s="5">
        <v>48.86</v>
      </c>
      <c r="H1164" s="5" t="s">
        <v>14</v>
      </c>
      <c r="I1164" s="5">
        <v>69.2</v>
      </c>
      <c r="J1164" s="5" t="s">
        <v>14</v>
      </c>
      <c r="K1164" s="7">
        <v>63.1</v>
      </c>
      <c r="L1164" s="8">
        <v>18</v>
      </c>
      <c r="M1164" s="9"/>
    </row>
    <row r="1165" s="1" customFormat="1" ht="20.1" customHeight="1" spans="1:13">
      <c r="A1165" s="4" t="str">
        <f>"37502022022714125820225"</f>
        <v>37502022022714125820225</v>
      </c>
      <c r="B1165" s="4" t="s">
        <v>1141</v>
      </c>
      <c r="C1165" s="4" t="s">
        <v>1159</v>
      </c>
      <c r="D1165" s="4" t="str">
        <f>"20220213907"</f>
        <v>20220213907</v>
      </c>
      <c r="E1165" s="4" t="str">
        <f t="shared" si="227"/>
        <v>39</v>
      </c>
      <c r="F1165" s="4" t="str">
        <f>"07"</f>
        <v>07</v>
      </c>
      <c r="G1165" s="5">
        <v>0</v>
      </c>
      <c r="H1165" s="5" t="s">
        <v>74</v>
      </c>
      <c r="I1165" s="5">
        <v>0</v>
      </c>
      <c r="J1165" s="5" t="s">
        <v>74</v>
      </c>
      <c r="K1165" s="7">
        <v>0</v>
      </c>
      <c r="L1165" s="8">
        <v>19</v>
      </c>
      <c r="M1165" s="9"/>
    </row>
    <row r="1166" s="1" customFormat="1" ht="20.1" customHeight="1" spans="1:13">
      <c r="A1166" s="4" t="str">
        <f>"37502022022721512220985"</f>
        <v>37502022022721512220985</v>
      </c>
      <c r="B1166" s="4" t="s">
        <v>1141</v>
      </c>
      <c r="C1166" s="4" t="s">
        <v>1160</v>
      </c>
      <c r="D1166" s="4" t="str">
        <f>"20220213927"</f>
        <v>20220213927</v>
      </c>
      <c r="E1166" s="4" t="str">
        <f t="shared" si="227"/>
        <v>39</v>
      </c>
      <c r="F1166" s="4" t="str">
        <f>"27"</f>
        <v>27</v>
      </c>
      <c r="G1166" s="5">
        <v>0</v>
      </c>
      <c r="H1166" s="5" t="s">
        <v>74</v>
      </c>
      <c r="I1166" s="5">
        <v>0</v>
      </c>
      <c r="J1166" s="5" t="s">
        <v>74</v>
      </c>
      <c r="K1166" s="7">
        <v>0</v>
      </c>
      <c r="L1166" s="8">
        <v>19</v>
      </c>
      <c r="M1166" s="9"/>
    </row>
    <row r="1167" s="1" customFormat="1" ht="20.1" customHeight="1" spans="1:13">
      <c r="A1167" s="4" t="str">
        <f>"37502022030121492124623"</f>
        <v>37502022030121492124623</v>
      </c>
      <c r="B1167" s="4" t="s">
        <v>1141</v>
      </c>
      <c r="C1167" s="4" t="s">
        <v>1161</v>
      </c>
      <c r="D1167" s="4" t="str">
        <f>"20220213925"</f>
        <v>20220213925</v>
      </c>
      <c r="E1167" s="4" t="str">
        <f t="shared" si="227"/>
        <v>39</v>
      </c>
      <c r="F1167" s="4" t="str">
        <f>"25"</f>
        <v>25</v>
      </c>
      <c r="G1167" s="5">
        <v>0</v>
      </c>
      <c r="H1167" s="5" t="s">
        <v>74</v>
      </c>
      <c r="I1167" s="5">
        <v>0</v>
      </c>
      <c r="J1167" s="5" t="s">
        <v>74</v>
      </c>
      <c r="K1167" s="7">
        <v>0</v>
      </c>
      <c r="L1167" s="8">
        <v>19</v>
      </c>
      <c r="M1167" s="9"/>
    </row>
    <row r="1168" s="1" customFormat="1" ht="20.1" customHeight="1" spans="1:13">
      <c r="A1168" s="4" t="str">
        <f>"37502022030123145424733"</f>
        <v>37502022030123145424733</v>
      </c>
      <c r="B1168" s="4" t="s">
        <v>1141</v>
      </c>
      <c r="C1168" s="4" t="s">
        <v>206</v>
      </c>
      <c r="D1168" s="4" t="str">
        <f>"20220213914"</f>
        <v>20220213914</v>
      </c>
      <c r="E1168" s="4" t="str">
        <f t="shared" si="227"/>
        <v>39</v>
      </c>
      <c r="F1168" s="4" t="str">
        <f>"14"</f>
        <v>14</v>
      </c>
      <c r="G1168" s="5">
        <v>0</v>
      </c>
      <c r="H1168" s="5" t="s">
        <v>74</v>
      </c>
      <c r="I1168" s="5">
        <v>0</v>
      </c>
      <c r="J1168" s="5" t="s">
        <v>74</v>
      </c>
      <c r="K1168" s="7">
        <v>0</v>
      </c>
      <c r="L1168" s="8">
        <v>19</v>
      </c>
      <c r="M1168" s="9"/>
    </row>
    <row r="1169" s="1" customFormat="1" ht="20.1" customHeight="1" spans="1:13">
      <c r="A1169" s="4" t="str">
        <f>"37502022030208105024817"</f>
        <v>37502022030208105024817</v>
      </c>
      <c r="B1169" s="4" t="s">
        <v>1141</v>
      </c>
      <c r="C1169" s="4" t="s">
        <v>1162</v>
      </c>
      <c r="D1169" s="4" t="str">
        <f>"20220213911"</f>
        <v>20220213911</v>
      </c>
      <c r="E1169" s="4" t="str">
        <f t="shared" si="227"/>
        <v>39</v>
      </c>
      <c r="F1169" s="4" t="str">
        <f>"11"</f>
        <v>11</v>
      </c>
      <c r="G1169" s="5">
        <v>0</v>
      </c>
      <c r="H1169" s="5" t="s">
        <v>74</v>
      </c>
      <c r="I1169" s="5">
        <v>0</v>
      </c>
      <c r="J1169" s="5" t="s">
        <v>74</v>
      </c>
      <c r="K1169" s="7">
        <v>0</v>
      </c>
      <c r="L1169" s="8">
        <v>19</v>
      </c>
      <c r="M1169" s="9"/>
    </row>
    <row r="1170" s="1" customFormat="1" ht="20.1" customHeight="1" spans="1:13">
      <c r="A1170" s="4" t="str">
        <f>"37502022030218230425701"</f>
        <v>37502022030218230425701</v>
      </c>
      <c r="B1170" s="4" t="s">
        <v>1141</v>
      </c>
      <c r="C1170" s="4" t="s">
        <v>1163</v>
      </c>
      <c r="D1170" s="4" t="str">
        <f>"20220213924"</f>
        <v>20220213924</v>
      </c>
      <c r="E1170" s="4" t="str">
        <f t="shared" si="227"/>
        <v>39</v>
      </c>
      <c r="F1170" s="4" t="str">
        <f>"24"</f>
        <v>24</v>
      </c>
      <c r="G1170" s="5">
        <v>0</v>
      </c>
      <c r="H1170" s="5" t="s">
        <v>74</v>
      </c>
      <c r="I1170" s="5">
        <v>0</v>
      </c>
      <c r="J1170" s="5" t="s">
        <v>74</v>
      </c>
      <c r="K1170" s="7">
        <v>0</v>
      </c>
      <c r="L1170" s="8">
        <v>19</v>
      </c>
      <c r="M1170" s="9"/>
    </row>
    <row r="1171" s="1" customFormat="1" ht="20.1" customHeight="1" spans="1:13">
      <c r="A1171" s="4" t="str">
        <f>"37502022030221445726049"</f>
        <v>37502022030221445726049</v>
      </c>
      <c r="B1171" s="4" t="s">
        <v>1141</v>
      </c>
      <c r="C1171" s="4" t="s">
        <v>1164</v>
      </c>
      <c r="D1171" s="4" t="str">
        <f>"20220213908"</f>
        <v>20220213908</v>
      </c>
      <c r="E1171" s="4" t="str">
        <f t="shared" si="227"/>
        <v>39</v>
      </c>
      <c r="F1171" s="4" t="str">
        <f>"08"</f>
        <v>08</v>
      </c>
      <c r="G1171" s="5">
        <v>0</v>
      </c>
      <c r="H1171" s="5" t="s">
        <v>74</v>
      </c>
      <c r="I1171" s="5">
        <v>0</v>
      </c>
      <c r="J1171" s="5" t="s">
        <v>74</v>
      </c>
      <c r="K1171" s="7">
        <v>0</v>
      </c>
      <c r="L1171" s="8">
        <v>19</v>
      </c>
      <c r="M1171" s="9"/>
    </row>
    <row r="1172" s="1" customFormat="1" ht="20.1" customHeight="1" spans="1:13">
      <c r="A1172" s="4" t="str">
        <f>"37502022030208000824811"</f>
        <v>37502022030208000824811</v>
      </c>
      <c r="B1172" s="4" t="s">
        <v>1165</v>
      </c>
      <c r="C1172" s="4" t="s">
        <v>1166</v>
      </c>
      <c r="D1172" s="4" t="str">
        <f>"20220224004"</f>
        <v>20220224004</v>
      </c>
      <c r="E1172" s="4" t="str">
        <f t="shared" ref="E1172:E1175" si="228">"40"</f>
        <v>40</v>
      </c>
      <c r="F1172" s="4" t="str">
        <f>"04"</f>
        <v>04</v>
      </c>
      <c r="G1172" s="5">
        <v>77.96</v>
      </c>
      <c r="H1172" s="5" t="s">
        <v>14</v>
      </c>
      <c r="I1172" s="5">
        <v>83.4</v>
      </c>
      <c r="J1172" s="5" t="s">
        <v>14</v>
      </c>
      <c r="K1172" s="7">
        <v>81.77</v>
      </c>
      <c r="L1172" s="8">
        <v>1</v>
      </c>
      <c r="M1172" s="9"/>
    </row>
    <row r="1173" s="1" customFormat="1" ht="20.1" customHeight="1" spans="1:13">
      <c r="A1173" s="4" t="str">
        <f>"37502022022815030522398"</f>
        <v>37502022022815030522398</v>
      </c>
      <c r="B1173" s="4" t="s">
        <v>1165</v>
      </c>
      <c r="C1173" s="4" t="s">
        <v>1167</v>
      </c>
      <c r="D1173" s="4" t="str">
        <f>"20220224019"</f>
        <v>20220224019</v>
      </c>
      <c r="E1173" s="4" t="str">
        <f t="shared" si="228"/>
        <v>40</v>
      </c>
      <c r="F1173" s="4" t="str">
        <f>"19"</f>
        <v>19</v>
      </c>
      <c r="G1173" s="5">
        <v>70.83</v>
      </c>
      <c r="H1173" s="5" t="s">
        <v>14</v>
      </c>
      <c r="I1173" s="5">
        <v>82.7</v>
      </c>
      <c r="J1173" s="5" t="s">
        <v>14</v>
      </c>
      <c r="K1173" s="7">
        <v>79.14</v>
      </c>
      <c r="L1173" s="8">
        <v>2</v>
      </c>
      <c r="M1173" s="9"/>
    </row>
    <row r="1174" s="1" customFormat="1" ht="20.1" customHeight="1" spans="1:13">
      <c r="A1174" s="4" t="str">
        <f>"37502022030214561825428"</f>
        <v>37502022030214561825428</v>
      </c>
      <c r="B1174" s="4" t="s">
        <v>1165</v>
      </c>
      <c r="C1174" s="4" t="s">
        <v>1168</v>
      </c>
      <c r="D1174" s="4" t="str">
        <f>"20220224010"</f>
        <v>20220224010</v>
      </c>
      <c r="E1174" s="4" t="str">
        <f t="shared" si="228"/>
        <v>40</v>
      </c>
      <c r="F1174" s="4" t="str">
        <f>"10"</f>
        <v>10</v>
      </c>
      <c r="G1174" s="5">
        <v>76.79</v>
      </c>
      <c r="H1174" s="5" t="s">
        <v>14</v>
      </c>
      <c r="I1174" s="5">
        <v>74.9</v>
      </c>
      <c r="J1174" s="5" t="s">
        <v>14</v>
      </c>
      <c r="K1174" s="7">
        <v>75.47</v>
      </c>
      <c r="L1174" s="8">
        <v>3</v>
      </c>
      <c r="M1174" s="9"/>
    </row>
    <row r="1175" s="1" customFormat="1" ht="20.1" customHeight="1" spans="1:13">
      <c r="A1175" s="4" t="str">
        <f>"37502022030218424025726"</f>
        <v>37502022030218424025726</v>
      </c>
      <c r="B1175" s="4" t="s">
        <v>1165</v>
      </c>
      <c r="C1175" s="4" t="s">
        <v>1169</v>
      </c>
      <c r="D1175" s="4" t="str">
        <f>"20220224012"</f>
        <v>20220224012</v>
      </c>
      <c r="E1175" s="4" t="str">
        <f t="shared" si="228"/>
        <v>40</v>
      </c>
      <c r="F1175" s="4" t="str">
        <f>"12"</f>
        <v>12</v>
      </c>
      <c r="G1175" s="5">
        <v>77.66</v>
      </c>
      <c r="H1175" s="5" t="s">
        <v>14</v>
      </c>
      <c r="I1175" s="5">
        <v>73.2</v>
      </c>
      <c r="J1175" s="5" t="s">
        <v>14</v>
      </c>
      <c r="K1175" s="7">
        <v>74.54</v>
      </c>
      <c r="L1175" s="8">
        <v>4</v>
      </c>
      <c r="M1175" s="9"/>
    </row>
    <row r="1176" s="1" customFormat="1" ht="20.1" customHeight="1" spans="1:13">
      <c r="A1176" s="4" t="str">
        <f>"37502022030110183823370"</f>
        <v>37502022030110183823370</v>
      </c>
      <c r="B1176" s="4" t="s">
        <v>1165</v>
      </c>
      <c r="C1176" s="4" t="s">
        <v>1170</v>
      </c>
      <c r="D1176" s="4" t="str">
        <f>"20220223930"</f>
        <v>20220223930</v>
      </c>
      <c r="E1176" s="4" t="str">
        <f>"39"</f>
        <v>39</v>
      </c>
      <c r="F1176" s="4" t="str">
        <f>"30"</f>
        <v>30</v>
      </c>
      <c r="G1176" s="5">
        <v>67.25</v>
      </c>
      <c r="H1176" s="5" t="s">
        <v>14</v>
      </c>
      <c r="I1176" s="5">
        <v>76.4</v>
      </c>
      <c r="J1176" s="5" t="s">
        <v>14</v>
      </c>
      <c r="K1176" s="7">
        <v>73.66</v>
      </c>
      <c r="L1176" s="8">
        <v>5</v>
      </c>
      <c r="M1176" s="9"/>
    </row>
    <row r="1177" s="1" customFormat="1" ht="20.1" customHeight="1" spans="1:13">
      <c r="A1177" s="4" t="str">
        <f>"37502022022817441722806"</f>
        <v>37502022022817441722806</v>
      </c>
      <c r="B1177" s="4" t="s">
        <v>1165</v>
      </c>
      <c r="C1177" s="4" t="s">
        <v>1171</v>
      </c>
      <c r="D1177" s="4" t="str">
        <f>"20220224017"</f>
        <v>20220224017</v>
      </c>
      <c r="E1177" s="4" t="str">
        <f t="shared" ref="E1177:E1194" si="229">"40"</f>
        <v>40</v>
      </c>
      <c r="F1177" s="4" t="str">
        <f>"17"</f>
        <v>17</v>
      </c>
      <c r="G1177" s="5">
        <v>67</v>
      </c>
      <c r="H1177" s="5" t="s">
        <v>14</v>
      </c>
      <c r="I1177" s="5">
        <v>75.7</v>
      </c>
      <c r="J1177" s="5" t="s">
        <v>14</v>
      </c>
      <c r="K1177" s="7">
        <v>73.09</v>
      </c>
      <c r="L1177" s="8">
        <v>6</v>
      </c>
      <c r="M1177" s="9"/>
    </row>
    <row r="1178" s="1" customFormat="1" ht="20.1" customHeight="1" spans="1:13">
      <c r="A1178" s="4" t="str">
        <f>"37502022030122363424702"</f>
        <v>37502022030122363424702</v>
      </c>
      <c r="B1178" s="4" t="s">
        <v>1165</v>
      </c>
      <c r="C1178" s="4" t="s">
        <v>1172</v>
      </c>
      <c r="D1178" s="4" t="str">
        <f>"20220224009"</f>
        <v>20220224009</v>
      </c>
      <c r="E1178" s="4" t="str">
        <f t="shared" si="229"/>
        <v>40</v>
      </c>
      <c r="F1178" s="4" t="str">
        <f>"09"</f>
        <v>09</v>
      </c>
      <c r="G1178" s="5">
        <v>69.53</v>
      </c>
      <c r="H1178" s="5" t="s">
        <v>14</v>
      </c>
      <c r="I1178" s="5">
        <v>74.4</v>
      </c>
      <c r="J1178" s="5" t="s">
        <v>14</v>
      </c>
      <c r="K1178" s="7">
        <v>72.94</v>
      </c>
      <c r="L1178" s="8">
        <v>7</v>
      </c>
      <c r="M1178" s="9"/>
    </row>
    <row r="1179" s="1" customFormat="1" ht="20.1" customHeight="1" spans="1:13">
      <c r="A1179" s="4" t="str">
        <f>"37502022030121221924570"</f>
        <v>37502022030121221924570</v>
      </c>
      <c r="B1179" s="4" t="s">
        <v>1165</v>
      </c>
      <c r="C1179" s="4" t="s">
        <v>1173</v>
      </c>
      <c r="D1179" s="4" t="str">
        <f>"20220224013"</f>
        <v>20220224013</v>
      </c>
      <c r="E1179" s="4" t="str">
        <f t="shared" si="229"/>
        <v>40</v>
      </c>
      <c r="F1179" s="4" t="str">
        <f>"13"</f>
        <v>13</v>
      </c>
      <c r="G1179" s="5">
        <v>58.93</v>
      </c>
      <c r="H1179" s="5" t="s">
        <v>14</v>
      </c>
      <c r="I1179" s="5">
        <v>76.1</v>
      </c>
      <c r="J1179" s="5" t="s">
        <v>14</v>
      </c>
      <c r="K1179" s="7">
        <v>70.95</v>
      </c>
      <c r="L1179" s="8">
        <v>8</v>
      </c>
      <c r="M1179" s="9"/>
    </row>
    <row r="1180" s="1" customFormat="1" ht="20.1" customHeight="1" spans="1:13">
      <c r="A1180" s="4" t="str">
        <f>"37502022022810155121582"</f>
        <v>37502022022810155121582</v>
      </c>
      <c r="B1180" s="4" t="s">
        <v>1165</v>
      </c>
      <c r="C1180" s="4" t="s">
        <v>1174</v>
      </c>
      <c r="D1180" s="4" t="str">
        <f>"20220224007"</f>
        <v>20220224007</v>
      </c>
      <c r="E1180" s="4" t="str">
        <f t="shared" si="229"/>
        <v>40</v>
      </c>
      <c r="F1180" s="4" t="str">
        <f>"07"</f>
        <v>07</v>
      </c>
      <c r="G1180" s="5">
        <v>70.42</v>
      </c>
      <c r="H1180" s="5" t="s">
        <v>14</v>
      </c>
      <c r="I1180" s="5">
        <v>69.8</v>
      </c>
      <c r="J1180" s="5" t="s">
        <v>14</v>
      </c>
      <c r="K1180" s="7">
        <v>69.99</v>
      </c>
      <c r="L1180" s="8">
        <v>9</v>
      </c>
      <c r="M1180" s="9"/>
    </row>
    <row r="1181" s="1" customFormat="1" ht="20.1" customHeight="1" spans="1:13">
      <c r="A1181" s="4" t="str">
        <f>"37502022030121503324624"</f>
        <v>37502022030121503324624</v>
      </c>
      <c r="B1181" s="4" t="s">
        <v>1165</v>
      </c>
      <c r="C1181" s="4" t="s">
        <v>1175</v>
      </c>
      <c r="D1181" s="4" t="str">
        <f>"20220224008"</f>
        <v>20220224008</v>
      </c>
      <c r="E1181" s="4" t="str">
        <f t="shared" si="229"/>
        <v>40</v>
      </c>
      <c r="F1181" s="4" t="str">
        <f>"08"</f>
        <v>08</v>
      </c>
      <c r="G1181" s="5">
        <v>73.08</v>
      </c>
      <c r="H1181" s="5" t="s">
        <v>14</v>
      </c>
      <c r="I1181" s="5">
        <v>68.2</v>
      </c>
      <c r="J1181" s="5" t="s">
        <v>14</v>
      </c>
      <c r="K1181" s="7">
        <v>69.66</v>
      </c>
      <c r="L1181" s="8">
        <v>10</v>
      </c>
      <c r="M1181" s="9"/>
    </row>
    <row r="1182" s="1" customFormat="1" ht="20.1" customHeight="1" spans="1:13">
      <c r="A1182" s="4" t="str">
        <f>"37502022022812305121941"</f>
        <v>37502022022812305121941</v>
      </c>
      <c r="B1182" s="4" t="s">
        <v>1165</v>
      </c>
      <c r="C1182" s="4" t="s">
        <v>404</v>
      </c>
      <c r="D1182" s="4" t="str">
        <f>"20220224005"</f>
        <v>20220224005</v>
      </c>
      <c r="E1182" s="4" t="str">
        <f t="shared" si="229"/>
        <v>40</v>
      </c>
      <c r="F1182" s="4" t="str">
        <f>"05"</f>
        <v>05</v>
      </c>
      <c r="G1182" s="5">
        <v>66.67</v>
      </c>
      <c r="H1182" s="5" t="s">
        <v>14</v>
      </c>
      <c r="I1182" s="5">
        <v>70.7</v>
      </c>
      <c r="J1182" s="5" t="s">
        <v>14</v>
      </c>
      <c r="K1182" s="7">
        <v>69.49</v>
      </c>
      <c r="L1182" s="8">
        <v>11</v>
      </c>
      <c r="M1182" s="9"/>
    </row>
    <row r="1183" s="1" customFormat="1" ht="20.1" customHeight="1" spans="1:13">
      <c r="A1183" s="4" t="str">
        <f>"37502022022813264422115"</f>
        <v>37502022022813264422115</v>
      </c>
      <c r="B1183" s="4" t="s">
        <v>1165</v>
      </c>
      <c r="C1183" s="4" t="s">
        <v>1176</v>
      </c>
      <c r="D1183" s="4" t="str">
        <f>"20220224020"</f>
        <v>20220224020</v>
      </c>
      <c r="E1183" s="4" t="str">
        <f t="shared" si="229"/>
        <v>40</v>
      </c>
      <c r="F1183" s="4" t="str">
        <f>"20"</f>
        <v>20</v>
      </c>
      <c r="G1183" s="5">
        <v>63.46</v>
      </c>
      <c r="H1183" s="5" t="s">
        <v>14</v>
      </c>
      <c r="I1183" s="5">
        <v>69.7</v>
      </c>
      <c r="J1183" s="5" t="s">
        <v>14</v>
      </c>
      <c r="K1183" s="7">
        <v>67.83</v>
      </c>
      <c r="L1183" s="8">
        <v>12</v>
      </c>
      <c r="M1183" s="9"/>
    </row>
    <row r="1184" s="1" customFormat="1" ht="20.1" customHeight="1" spans="1:13">
      <c r="A1184" s="4" t="str">
        <f>"37502022030213451525327"</f>
        <v>37502022030213451525327</v>
      </c>
      <c r="B1184" s="4" t="s">
        <v>1165</v>
      </c>
      <c r="C1184" s="4" t="s">
        <v>1177</v>
      </c>
      <c r="D1184" s="4" t="str">
        <f>"20220224006"</f>
        <v>20220224006</v>
      </c>
      <c r="E1184" s="4" t="str">
        <f t="shared" si="229"/>
        <v>40</v>
      </c>
      <c r="F1184" s="4" t="str">
        <f>"06"</f>
        <v>06</v>
      </c>
      <c r="G1184" s="5">
        <v>61.24</v>
      </c>
      <c r="H1184" s="5" t="s">
        <v>14</v>
      </c>
      <c r="I1184" s="5">
        <v>69.8</v>
      </c>
      <c r="J1184" s="5" t="s">
        <v>14</v>
      </c>
      <c r="K1184" s="7">
        <v>67.23</v>
      </c>
      <c r="L1184" s="8">
        <v>13</v>
      </c>
      <c r="M1184" s="9"/>
    </row>
    <row r="1185" s="1" customFormat="1" ht="20.1" customHeight="1" spans="1:13">
      <c r="A1185" s="4" t="str">
        <f>"37502022022814375922298"</f>
        <v>37502022022814375922298</v>
      </c>
      <c r="B1185" s="4" t="s">
        <v>1165</v>
      </c>
      <c r="C1185" s="4" t="s">
        <v>1178</v>
      </c>
      <c r="D1185" s="4" t="str">
        <f>"20220224015"</f>
        <v>20220224015</v>
      </c>
      <c r="E1185" s="4" t="str">
        <f t="shared" si="229"/>
        <v>40</v>
      </c>
      <c r="F1185" s="4" t="str">
        <f>"15"</f>
        <v>15</v>
      </c>
      <c r="G1185" s="5">
        <v>59.1</v>
      </c>
      <c r="H1185" s="5" t="s">
        <v>14</v>
      </c>
      <c r="I1185" s="5">
        <v>69.9</v>
      </c>
      <c r="J1185" s="5" t="s">
        <v>14</v>
      </c>
      <c r="K1185" s="7">
        <v>66.66</v>
      </c>
      <c r="L1185" s="8">
        <v>14</v>
      </c>
      <c r="M1185" s="9"/>
    </row>
    <row r="1186" s="1" customFormat="1" ht="20.1" customHeight="1" spans="1:13">
      <c r="A1186" s="4" t="str">
        <f>"37502022030109425023281"</f>
        <v>37502022030109425023281</v>
      </c>
      <c r="B1186" s="4" t="s">
        <v>1165</v>
      </c>
      <c r="C1186" s="4" t="s">
        <v>345</v>
      </c>
      <c r="D1186" s="4" t="str">
        <f>"20220224011"</f>
        <v>20220224011</v>
      </c>
      <c r="E1186" s="4" t="str">
        <f t="shared" si="229"/>
        <v>40</v>
      </c>
      <c r="F1186" s="4" t="str">
        <f>"11"</f>
        <v>11</v>
      </c>
      <c r="G1186" s="5">
        <v>64.31</v>
      </c>
      <c r="H1186" s="5" t="s">
        <v>14</v>
      </c>
      <c r="I1186" s="5">
        <v>67</v>
      </c>
      <c r="J1186" s="5" t="s">
        <v>14</v>
      </c>
      <c r="K1186" s="7">
        <v>66.19</v>
      </c>
      <c r="L1186" s="8">
        <v>15</v>
      </c>
      <c r="M1186" s="9"/>
    </row>
    <row r="1187" s="1" customFormat="1" ht="20.1" customHeight="1" spans="1:13">
      <c r="A1187" s="4" t="str">
        <f>"37502022030212202025195"</f>
        <v>37502022030212202025195</v>
      </c>
      <c r="B1187" s="4" t="s">
        <v>1165</v>
      </c>
      <c r="C1187" s="4" t="s">
        <v>1179</v>
      </c>
      <c r="D1187" s="4" t="str">
        <f>"20220224001"</f>
        <v>20220224001</v>
      </c>
      <c r="E1187" s="4" t="str">
        <f t="shared" si="229"/>
        <v>40</v>
      </c>
      <c r="F1187" s="4" t="str">
        <f>"01"</f>
        <v>01</v>
      </c>
      <c r="G1187" s="5">
        <v>58.27</v>
      </c>
      <c r="H1187" s="5" t="s">
        <v>14</v>
      </c>
      <c r="I1187" s="5">
        <v>62.5</v>
      </c>
      <c r="J1187" s="5" t="s">
        <v>14</v>
      </c>
      <c r="K1187" s="7">
        <v>61.23</v>
      </c>
      <c r="L1187" s="8">
        <v>16</v>
      </c>
      <c r="M1187" s="9"/>
    </row>
    <row r="1188" s="1" customFormat="1" ht="20.1" customHeight="1" spans="1:13">
      <c r="A1188" s="4" t="str">
        <f>"37502022022818544022864"</f>
        <v>37502022022818544022864</v>
      </c>
      <c r="B1188" s="4" t="s">
        <v>1165</v>
      </c>
      <c r="C1188" s="4" t="s">
        <v>1180</v>
      </c>
      <c r="D1188" s="4" t="str">
        <f>"20220224022"</f>
        <v>20220224022</v>
      </c>
      <c r="E1188" s="4" t="str">
        <f t="shared" si="229"/>
        <v>40</v>
      </c>
      <c r="F1188" s="4" t="str">
        <f>"22"</f>
        <v>22</v>
      </c>
      <c r="G1188" s="5">
        <v>55.57</v>
      </c>
      <c r="H1188" s="5" t="s">
        <v>14</v>
      </c>
      <c r="I1188" s="5">
        <v>63.2</v>
      </c>
      <c r="J1188" s="5" t="s">
        <v>14</v>
      </c>
      <c r="K1188" s="7">
        <v>60.91</v>
      </c>
      <c r="L1188" s="8">
        <v>17</v>
      </c>
      <c r="M1188" s="9"/>
    </row>
    <row r="1189" s="1" customFormat="1" ht="20.1" customHeight="1" spans="1:13">
      <c r="A1189" s="4" t="str">
        <f>"37502022030221552426061"</f>
        <v>37502022030221552426061</v>
      </c>
      <c r="B1189" s="4" t="s">
        <v>1165</v>
      </c>
      <c r="C1189" s="4" t="s">
        <v>1181</v>
      </c>
      <c r="D1189" s="4" t="str">
        <f>"20220224016"</f>
        <v>20220224016</v>
      </c>
      <c r="E1189" s="4" t="str">
        <f t="shared" si="229"/>
        <v>40</v>
      </c>
      <c r="F1189" s="4" t="str">
        <f>"16"</f>
        <v>16</v>
      </c>
      <c r="G1189" s="5">
        <v>61.1</v>
      </c>
      <c r="H1189" s="5" t="s">
        <v>14</v>
      </c>
      <c r="I1189" s="5">
        <v>59</v>
      </c>
      <c r="J1189" s="5" t="s">
        <v>14</v>
      </c>
      <c r="K1189" s="7">
        <v>59.63</v>
      </c>
      <c r="L1189" s="8">
        <v>18</v>
      </c>
      <c r="M1189" s="9"/>
    </row>
    <row r="1190" s="1" customFormat="1" ht="20.1" customHeight="1" spans="1:13">
      <c r="A1190" s="4" t="str">
        <f>"37502022030208474524850"</f>
        <v>37502022030208474524850</v>
      </c>
      <c r="B1190" s="4" t="s">
        <v>1165</v>
      </c>
      <c r="C1190" s="4" t="s">
        <v>1182</v>
      </c>
      <c r="D1190" s="4" t="str">
        <f>"20220224014"</f>
        <v>20220224014</v>
      </c>
      <c r="E1190" s="4" t="str">
        <f t="shared" si="229"/>
        <v>40</v>
      </c>
      <c r="F1190" s="4" t="str">
        <f>"14"</f>
        <v>14</v>
      </c>
      <c r="G1190" s="5">
        <v>58.7</v>
      </c>
      <c r="H1190" s="5" t="s">
        <v>14</v>
      </c>
      <c r="I1190" s="5">
        <v>56.7</v>
      </c>
      <c r="J1190" s="5" t="s">
        <v>14</v>
      </c>
      <c r="K1190" s="7">
        <v>57.3</v>
      </c>
      <c r="L1190" s="8">
        <v>19</v>
      </c>
      <c r="M1190" s="9"/>
    </row>
    <row r="1191" s="1" customFormat="1" ht="20.1" customHeight="1" spans="1:13">
      <c r="A1191" s="4" t="str">
        <f>"37502022022709491719917"</f>
        <v>37502022022709491719917</v>
      </c>
      <c r="B1191" s="4" t="s">
        <v>1165</v>
      </c>
      <c r="C1191" s="4" t="s">
        <v>1170</v>
      </c>
      <c r="D1191" s="4" t="str">
        <f>"20220224018"</f>
        <v>20220224018</v>
      </c>
      <c r="E1191" s="4" t="str">
        <f t="shared" si="229"/>
        <v>40</v>
      </c>
      <c r="F1191" s="4" t="str">
        <f>"18"</f>
        <v>18</v>
      </c>
      <c r="G1191" s="5">
        <v>0</v>
      </c>
      <c r="H1191" s="5" t="s">
        <v>74</v>
      </c>
      <c r="I1191" s="5">
        <v>0</v>
      </c>
      <c r="J1191" s="5" t="s">
        <v>74</v>
      </c>
      <c r="K1191" s="7">
        <v>0</v>
      </c>
      <c r="L1191" s="8">
        <v>20</v>
      </c>
      <c r="M1191" s="9"/>
    </row>
    <row r="1192" s="1" customFormat="1" ht="20.1" customHeight="1" spans="1:13">
      <c r="A1192" s="4" t="str">
        <f>"37502022030119332924367"</f>
        <v>37502022030119332924367</v>
      </c>
      <c r="B1192" s="4" t="s">
        <v>1165</v>
      </c>
      <c r="C1192" s="4" t="s">
        <v>1183</v>
      </c>
      <c r="D1192" s="4" t="str">
        <f>"20220224003"</f>
        <v>20220224003</v>
      </c>
      <c r="E1192" s="4" t="str">
        <f t="shared" si="229"/>
        <v>40</v>
      </c>
      <c r="F1192" s="4" t="str">
        <f>"03"</f>
        <v>03</v>
      </c>
      <c r="G1192" s="5">
        <v>0</v>
      </c>
      <c r="H1192" s="5" t="s">
        <v>74</v>
      </c>
      <c r="I1192" s="5">
        <v>0</v>
      </c>
      <c r="J1192" s="5" t="s">
        <v>74</v>
      </c>
      <c r="K1192" s="7">
        <v>0</v>
      </c>
      <c r="L1192" s="8">
        <v>20</v>
      </c>
      <c r="M1192" s="9"/>
    </row>
    <row r="1193" s="1" customFormat="1" ht="20.1" customHeight="1" spans="1:13">
      <c r="A1193" s="4" t="str">
        <f>"37502022030120582324529"</f>
        <v>37502022030120582324529</v>
      </c>
      <c r="B1193" s="4" t="s">
        <v>1165</v>
      </c>
      <c r="C1193" s="4" t="s">
        <v>694</v>
      </c>
      <c r="D1193" s="4" t="str">
        <f>"20220224021"</f>
        <v>20220224021</v>
      </c>
      <c r="E1193" s="4" t="str">
        <f t="shared" si="229"/>
        <v>40</v>
      </c>
      <c r="F1193" s="4" t="str">
        <f>"21"</f>
        <v>21</v>
      </c>
      <c r="G1193" s="5">
        <v>0</v>
      </c>
      <c r="H1193" s="5" t="s">
        <v>74</v>
      </c>
      <c r="I1193" s="5">
        <v>0</v>
      </c>
      <c r="J1193" s="5" t="s">
        <v>74</v>
      </c>
      <c r="K1193" s="7">
        <v>0</v>
      </c>
      <c r="L1193" s="8">
        <v>20</v>
      </c>
      <c r="M1193" s="9"/>
    </row>
    <row r="1194" s="1" customFormat="1" ht="20.1" customHeight="1" spans="1:13">
      <c r="A1194" s="4" t="str">
        <f>"37502022030212222625197"</f>
        <v>37502022030212222625197</v>
      </c>
      <c r="B1194" s="4" t="s">
        <v>1165</v>
      </c>
      <c r="C1194" s="4" t="s">
        <v>1184</v>
      </c>
      <c r="D1194" s="4" t="str">
        <f>"20220224002"</f>
        <v>20220224002</v>
      </c>
      <c r="E1194" s="4" t="str">
        <f t="shared" si="229"/>
        <v>40</v>
      </c>
      <c r="F1194" s="4" t="str">
        <f>"02"</f>
        <v>02</v>
      </c>
      <c r="G1194" s="5">
        <v>0</v>
      </c>
      <c r="H1194" s="5" t="s">
        <v>74</v>
      </c>
      <c r="I1194" s="5">
        <v>0</v>
      </c>
      <c r="J1194" s="5" t="s">
        <v>74</v>
      </c>
      <c r="K1194" s="7">
        <v>0</v>
      </c>
      <c r="L1194" s="8">
        <v>20</v>
      </c>
      <c r="M1194" s="9"/>
    </row>
    <row r="1195" s="1" customFormat="1" ht="20.1" customHeight="1" spans="1:13">
      <c r="A1195" s="4" t="str">
        <f>"37502022030110374423420"</f>
        <v>37502022030110374423420</v>
      </c>
      <c r="B1195" s="4" t="s">
        <v>1185</v>
      </c>
      <c r="C1195" s="4" t="s">
        <v>1186</v>
      </c>
      <c r="D1195" s="4" t="str">
        <f>"20220234111"</f>
        <v>20220234111</v>
      </c>
      <c r="E1195" s="4" t="str">
        <f t="shared" ref="E1195:E1199" si="230">"41"</f>
        <v>41</v>
      </c>
      <c r="F1195" s="4" t="str">
        <f>"11"</f>
        <v>11</v>
      </c>
      <c r="G1195" s="5">
        <v>73.2</v>
      </c>
      <c r="H1195" s="5" t="s">
        <v>14</v>
      </c>
      <c r="I1195" s="5">
        <v>80.4</v>
      </c>
      <c r="J1195" s="5" t="s">
        <v>14</v>
      </c>
      <c r="K1195" s="7">
        <v>78.24</v>
      </c>
      <c r="L1195" s="8">
        <v>1</v>
      </c>
      <c r="M1195" s="9"/>
    </row>
    <row r="1196" s="1" customFormat="1" ht="20.1" customHeight="1" spans="1:13">
      <c r="A1196" s="4" t="str">
        <f>"37502022030110142923355"</f>
        <v>37502022030110142923355</v>
      </c>
      <c r="B1196" s="4" t="s">
        <v>1185</v>
      </c>
      <c r="C1196" s="4" t="s">
        <v>1187</v>
      </c>
      <c r="D1196" s="4" t="str">
        <f>"20220234110"</f>
        <v>20220234110</v>
      </c>
      <c r="E1196" s="4" t="str">
        <f t="shared" si="230"/>
        <v>41</v>
      </c>
      <c r="F1196" s="4" t="str">
        <f>"10"</f>
        <v>10</v>
      </c>
      <c r="G1196" s="5">
        <v>67.81</v>
      </c>
      <c r="H1196" s="5" t="s">
        <v>14</v>
      </c>
      <c r="I1196" s="5">
        <v>76.5</v>
      </c>
      <c r="J1196" s="5" t="s">
        <v>14</v>
      </c>
      <c r="K1196" s="7">
        <v>73.89</v>
      </c>
      <c r="L1196" s="8">
        <v>2</v>
      </c>
      <c r="M1196" s="9"/>
    </row>
    <row r="1197" s="1" customFormat="1" ht="20.1" customHeight="1" spans="1:13">
      <c r="A1197" s="4" t="str">
        <f>"37502022030210082924993"</f>
        <v>37502022030210082924993</v>
      </c>
      <c r="B1197" s="4" t="s">
        <v>1185</v>
      </c>
      <c r="C1197" s="4" t="s">
        <v>1188</v>
      </c>
      <c r="D1197" s="4" t="str">
        <f>"20220234027"</f>
        <v>20220234027</v>
      </c>
      <c r="E1197" s="4" t="str">
        <f>"40"</f>
        <v>40</v>
      </c>
      <c r="F1197" s="4" t="str">
        <f>"27"</f>
        <v>27</v>
      </c>
      <c r="G1197" s="5">
        <v>71.29</v>
      </c>
      <c r="H1197" s="5" t="s">
        <v>14</v>
      </c>
      <c r="I1197" s="5">
        <v>73.6</v>
      </c>
      <c r="J1197" s="5" t="s">
        <v>14</v>
      </c>
      <c r="K1197" s="7">
        <v>72.91</v>
      </c>
      <c r="L1197" s="8">
        <v>3</v>
      </c>
      <c r="M1197" s="9"/>
    </row>
    <row r="1198" s="1" customFormat="1" ht="20.1" customHeight="1" spans="1:13">
      <c r="A1198" s="4" t="str">
        <f>"37502022030110011523329"</f>
        <v>37502022030110011523329</v>
      </c>
      <c r="B1198" s="4" t="s">
        <v>1185</v>
      </c>
      <c r="C1198" s="4" t="s">
        <v>1189</v>
      </c>
      <c r="D1198" s="4" t="str">
        <f>"20220234113"</f>
        <v>20220234113</v>
      </c>
      <c r="E1198" s="4" t="str">
        <f t="shared" si="230"/>
        <v>41</v>
      </c>
      <c r="F1198" s="4" t="str">
        <f>"13"</f>
        <v>13</v>
      </c>
      <c r="G1198" s="5">
        <v>66.9</v>
      </c>
      <c r="H1198" s="5" t="s">
        <v>14</v>
      </c>
      <c r="I1198" s="5">
        <v>71.1</v>
      </c>
      <c r="J1198" s="5" t="s">
        <v>14</v>
      </c>
      <c r="K1198" s="7">
        <v>69.84</v>
      </c>
      <c r="L1198" s="8">
        <v>4</v>
      </c>
      <c r="M1198" s="9"/>
    </row>
    <row r="1199" s="1" customFormat="1" ht="20.1" customHeight="1" spans="1:13">
      <c r="A1199" s="4" t="str">
        <f>"37502022022617184219436"</f>
        <v>37502022022617184219436</v>
      </c>
      <c r="B1199" s="4" t="s">
        <v>1185</v>
      </c>
      <c r="C1199" s="4" t="s">
        <v>1190</v>
      </c>
      <c r="D1199" s="4" t="str">
        <f>"20220234108"</f>
        <v>20220234108</v>
      </c>
      <c r="E1199" s="4" t="str">
        <f t="shared" si="230"/>
        <v>41</v>
      </c>
      <c r="F1199" s="4" t="str">
        <f>"08"</f>
        <v>08</v>
      </c>
      <c r="G1199" s="5">
        <v>64.5</v>
      </c>
      <c r="H1199" s="5" t="s">
        <v>14</v>
      </c>
      <c r="I1199" s="5">
        <v>71.5</v>
      </c>
      <c r="J1199" s="5" t="s">
        <v>14</v>
      </c>
      <c r="K1199" s="7">
        <v>69.4</v>
      </c>
      <c r="L1199" s="8">
        <v>5</v>
      </c>
      <c r="M1199" s="9"/>
    </row>
    <row r="1200" s="1" customFormat="1" ht="20.1" customHeight="1" spans="1:13">
      <c r="A1200" s="4" t="str">
        <f>"37502022030118080824194"</f>
        <v>37502022030118080824194</v>
      </c>
      <c r="B1200" s="4" t="s">
        <v>1185</v>
      </c>
      <c r="C1200" s="4" t="s">
        <v>1191</v>
      </c>
      <c r="D1200" s="4" t="str">
        <f>"20220234028"</f>
        <v>20220234028</v>
      </c>
      <c r="E1200" s="4" t="str">
        <f>"40"</f>
        <v>40</v>
      </c>
      <c r="F1200" s="4" t="str">
        <f>"28"</f>
        <v>28</v>
      </c>
      <c r="G1200" s="5">
        <v>71.87</v>
      </c>
      <c r="H1200" s="5" t="s">
        <v>14</v>
      </c>
      <c r="I1200" s="5">
        <v>67.9</v>
      </c>
      <c r="J1200" s="5" t="s">
        <v>14</v>
      </c>
      <c r="K1200" s="7">
        <v>69.09</v>
      </c>
      <c r="L1200" s="8">
        <v>6</v>
      </c>
      <c r="M1200" s="9"/>
    </row>
    <row r="1201" s="1" customFormat="1" ht="20.1" customHeight="1" spans="1:13">
      <c r="A1201" s="4" t="str">
        <f>"37502022022612091519060"</f>
        <v>37502022022612091519060</v>
      </c>
      <c r="B1201" s="4" t="s">
        <v>1185</v>
      </c>
      <c r="C1201" s="4" t="s">
        <v>1192</v>
      </c>
      <c r="D1201" s="4" t="str">
        <f>"20220234107"</f>
        <v>20220234107</v>
      </c>
      <c r="E1201" s="4" t="str">
        <f t="shared" ref="E1201:E1207" si="231">"41"</f>
        <v>41</v>
      </c>
      <c r="F1201" s="4" t="str">
        <f>"07"</f>
        <v>07</v>
      </c>
      <c r="G1201" s="5">
        <v>67.29</v>
      </c>
      <c r="H1201" s="5" t="s">
        <v>14</v>
      </c>
      <c r="I1201" s="5">
        <v>69.8</v>
      </c>
      <c r="J1201" s="5" t="s">
        <v>14</v>
      </c>
      <c r="K1201" s="7">
        <v>69.05</v>
      </c>
      <c r="L1201" s="8">
        <v>7</v>
      </c>
      <c r="M1201" s="9"/>
    </row>
    <row r="1202" s="1" customFormat="1" ht="20.1" customHeight="1" spans="1:13">
      <c r="A1202" s="4" t="str">
        <f>"37502022030116332824023"</f>
        <v>37502022030116332824023</v>
      </c>
      <c r="B1202" s="4" t="s">
        <v>1185</v>
      </c>
      <c r="C1202" s="4" t="s">
        <v>1193</v>
      </c>
      <c r="D1202" s="4" t="str">
        <f>"20220234109"</f>
        <v>20220234109</v>
      </c>
      <c r="E1202" s="4" t="str">
        <f t="shared" si="231"/>
        <v>41</v>
      </c>
      <c r="F1202" s="4" t="str">
        <f>"09"</f>
        <v>09</v>
      </c>
      <c r="G1202" s="5">
        <v>62.35</v>
      </c>
      <c r="H1202" s="5" t="s">
        <v>14</v>
      </c>
      <c r="I1202" s="5">
        <v>70.7</v>
      </c>
      <c r="J1202" s="5" t="s">
        <v>14</v>
      </c>
      <c r="K1202" s="7">
        <v>68.2</v>
      </c>
      <c r="L1202" s="8">
        <v>8</v>
      </c>
      <c r="M1202" s="9"/>
    </row>
    <row r="1203" s="1" customFormat="1" ht="20.1" customHeight="1" spans="1:13">
      <c r="A1203" s="4" t="str">
        <f>"37502022022810501121687"</f>
        <v>37502022022810501121687</v>
      </c>
      <c r="B1203" s="4" t="s">
        <v>1185</v>
      </c>
      <c r="C1203" s="4" t="s">
        <v>1194</v>
      </c>
      <c r="D1203" s="4" t="str">
        <f>"20220234025"</f>
        <v>20220234025</v>
      </c>
      <c r="E1203" s="4" t="str">
        <f>"40"</f>
        <v>40</v>
      </c>
      <c r="F1203" s="4" t="str">
        <f>"25"</f>
        <v>25</v>
      </c>
      <c r="G1203" s="5">
        <v>60.59</v>
      </c>
      <c r="H1203" s="5" t="s">
        <v>14</v>
      </c>
      <c r="I1203" s="5">
        <v>70.1</v>
      </c>
      <c r="J1203" s="5" t="s">
        <v>14</v>
      </c>
      <c r="K1203" s="7">
        <v>67.25</v>
      </c>
      <c r="L1203" s="8">
        <v>9</v>
      </c>
      <c r="M1203" s="9"/>
    </row>
    <row r="1204" s="1" customFormat="1" ht="20.1" customHeight="1" spans="1:13">
      <c r="A1204" s="4" t="str">
        <f>"37502022022622184519749"</f>
        <v>37502022022622184519749</v>
      </c>
      <c r="B1204" s="4" t="s">
        <v>1185</v>
      </c>
      <c r="C1204" s="4" t="s">
        <v>668</v>
      </c>
      <c r="D1204" s="4" t="str">
        <f>"20220234103"</f>
        <v>20220234103</v>
      </c>
      <c r="E1204" s="4" t="str">
        <f t="shared" si="231"/>
        <v>41</v>
      </c>
      <c r="F1204" s="4" t="str">
        <f>"03"</f>
        <v>03</v>
      </c>
      <c r="G1204" s="5">
        <v>66.89</v>
      </c>
      <c r="H1204" s="5" t="s">
        <v>14</v>
      </c>
      <c r="I1204" s="5">
        <v>67.3</v>
      </c>
      <c r="J1204" s="5" t="s">
        <v>14</v>
      </c>
      <c r="K1204" s="7">
        <v>67.18</v>
      </c>
      <c r="L1204" s="8">
        <v>10</v>
      </c>
      <c r="M1204" s="9"/>
    </row>
    <row r="1205" s="1" customFormat="1" ht="20.1" customHeight="1" spans="1:13">
      <c r="A1205" s="4" t="str">
        <f>"37502022030208213024827"</f>
        <v>37502022030208213024827</v>
      </c>
      <c r="B1205" s="4" t="s">
        <v>1185</v>
      </c>
      <c r="C1205" s="4" t="s">
        <v>1195</v>
      </c>
      <c r="D1205" s="4" t="str">
        <f>"20220234114"</f>
        <v>20220234114</v>
      </c>
      <c r="E1205" s="4" t="str">
        <f t="shared" si="231"/>
        <v>41</v>
      </c>
      <c r="F1205" s="4" t="str">
        <f>"14"</f>
        <v>14</v>
      </c>
      <c r="G1205" s="5">
        <v>62.23</v>
      </c>
      <c r="H1205" s="5" t="s">
        <v>14</v>
      </c>
      <c r="I1205" s="5">
        <v>68.3</v>
      </c>
      <c r="J1205" s="5" t="s">
        <v>14</v>
      </c>
      <c r="K1205" s="7">
        <v>66.48</v>
      </c>
      <c r="L1205" s="8">
        <v>11</v>
      </c>
      <c r="M1205" s="9"/>
    </row>
    <row r="1206" s="1" customFormat="1" ht="20.1" customHeight="1" spans="1:13">
      <c r="A1206" s="4" t="str">
        <f>"37502022030221354926029"</f>
        <v>37502022030221354926029</v>
      </c>
      <c r="B1206" s="4" t="s">
        <v>1185</v>
      </c>
      <c r="C1206" s="4" t="s">
        <v>1196</v>
      </c>
      <c r="D1206" s="4" t="str">
        <f>"20220234116"</f>
        <v>20220234116</v>
      </c>
      <c r="E1206" s="4" t="str">
        <f t="shared" si="231"/>
        <v>41</v>
      </c>
      <c r="F1206" s="4" t="str">
        <f>"16"</f>
        <v>16</v>
      </c>
      <c r="G1206" s="5">
        <v>69.67</v>
      </c>
      <c r="H1206" s="5" t="s">
        <v>14</v>
      </c>
      <c r="I1206" s="5">
        <v>65</v>
      </c>
      <c r="J1206" s="5" t="s">
        <v>14</v>
      </c>
      <c r="K1206" s="7">
        <v>66.4</v>
      </c>
      <c r="L1206" s="8">
        <v>12</v>
      </c>
      <c r="M1206" s="9"/>
    </row>
    <row r="1207" s="1" customFormat="1" ht="20.1" customHeight="1" spans="1:13">
      <c r="A1207" s="4" t="str">
        <f>"37502022030122361924701"</f>
        <v>37502022030122361924701</v>
      </c>
      <c r="B1207" s="4" t="s">
        <v>1185</v>
      </c>
      <c r="C1207" s="4" t="s">
        <v>90</v>
      </c>
      <c r="D1207" s="4" t="str">
        <f>"20220234102"</f>
        <v>20220234102</v>
      </c>
      <c r="E1207" s="4" t="str">
        <f t="shared" si="231"/>
        <v>41</v>
      </c>
      <c r="F1207" s="4" t="str">
        <f>"02"</f>
        <v>02</v>
      </c>
      <c r="G1207" s="5">
        <v>67.37</v>
      </c>
      <c r="H1207" s="5" t="s">
        <v>14</v>
      </c>
      <c r="I1207" s="5">
        <v>65.2</v>
      </c>
      <c r="J1207" s="5" t="s">
        <v>14</v>
      </c>
      <c r="K1207" s="7">
        <v>65.85</v>
      </c>
      <c r="L1207" s="8">
        <v>13</v>
      </c>
      <c r="M1207" s="9"/>
    </row>
    <row r="1208" s="1" customFormat="1" ht="20.1" customHeight="1" spans="1:13">
      <c r="A1208" s="4" t="str">
        <f>"37502022030217000425588"</f>
        <v>37502022030217000425588</v>
      </c>
      <c r="B1208" s="4" t="s">
        <v>1185</v>
      </c>
      <c r="C1208" s="4" t="s">
        <v>1197</v>
      </c>
      <c r="D1208" s="4" t="str">
        <f>"20220234029"</f>
        <v>20220234029</v>
      </c>
      <c r="E1208" s="4" t="str">
        <f t="shared" ref="E1208:E1211" si="232">"40"</f>
        <v>40</v>
      </c>
      <c r="F1208" s="4" t="str">
        <f>"29"</f>
        <v>29</v>
      </c>
      <c r="G1208" s="5">
        <v>58.26</v>
      </c>
      <c r="H1208" s="5" t="s">
        <v>14</v>
      </c>
      <c r="I1208" s="5">
        <v>67.7</v>
      </c>
      <c r="J1208" s="5" t="s">
        <v>14</v>
      </c>
      <c r="K1208" s="7">
        <v>64.87</v>
      </c>
      <c r="L1208" s="8">
        <v>14</v>
      </c>
      <c r="M1208" s="9"/>
    </row>
    <row r="1209" s="1" customFormat="1" ht="20.1" customHeight="1" spans="1:13">
      <c r="A1209" s="4" t="str">
        <f>"37502022022621264719691"</f>
        <v>37502022022621264719691</v>
      </c>
      <c r="B1209" s="4" t="s">
        <v>1185</v>
      </c>
      <c r="C1209" s="4" t="s">
        <v>202</v>
      </c>
      <c r="D1209" s="4" t="str">
        <f>"20220234023"</f>
        <v>20220234023</v>
      </c>
      <c r="E1209" s="4" t="str">
        <f t="shared" si="232"/>
        <v>40</v>
      </c>
      <c r="F1209" s="4" t="str">
        <f>"23"</f>
        <v>23</v>
      </c>
      <c r="G1209" s="5">
        <v>63.42</v>
      </c>
      <c r="H1209" s="5" t="s">
        <v>14</v>
      </c>
      <c r="I1209" s="5">
        <v>62.7</v>
      </c>
      <c r="J1209" s="5" t="s">
        <v>14</v>
      </c>
      <c r="K1209" s="7">
        <v>62.92</v>
      </c>
      <c r="L1209" s="8">
        <v>15</v>
      </c>
      <c r="M1209" s="9"/>
    </row>
    <row r="1210" s="1" customFormat="1" ht="20.1" customHeight="1" spans="1:13">
      <c r="A1210" s="4" t="str">
        <f>"37502022022713053620137"</f>
        <v>37502022022713053620137</v>
      </c>
      <c r="B1210" s="4" t="s">
        <v>1185</v>
      </c>
      <c r="C1210" s="4" t="s">
        <v>1198</v>
      </c>
      <c r="D1210" s="4" t="str">
        <f>"20220234030"</f>
        <v>20220234030</v>
      </c>
      <c r="E1210" s="4" t="str">
        <f t="shared" si="232"/>
        <v>40</v>
      </c>
      <c r="F1210" s="4" t="str">
        <f>"30"</f>
        <v>30</v>
      </c>
      <c r="G1210" s="5">
        <v>61.94</v>
      </c>
      <c r="H1210" s="5" t="s">
        <v>14</v>
      </c>
      <c r="I1210" s="5">
        <v>61.6</v>
      </c>
      <c r="J1210" s="5" t="s">
        <v>14</v>
      </c>
      <c r="K1210" s="7">
        <v>61.7</v>
      </c>
      <c r="L1210" s="8">
        <v>16</v>
      </c>
      <c r="M1210" s="9"/>
    </row>
    <row r="1211" s="1" customFormat="1" ht="20.1" customHeight="1" spans="1:13">
      <c r="A1211" s="4" t="str">
        <f>"37502022022716194320432"</f>
        <v>37502022022716194320432</v>
      </c>
      <c r="B1211" s="4" t="s">
        <v>1185</v>
      </c>
      <c r="C1211" s="4" t="s">
        <v>1199</v>
      </c>
      <c r="D1211" s="4" t="str">
        <f>"20220234024"</f>
        <v>20220234024</v>
      </c>
      <c r="E1211" s="4" t="str">
        <f t="shared" si="232"/>
        <v>40</v>
      </c>
      <c r="F1211" s="4" t="str">
        <f>"24"</f>
        <v>24</v>
      </c>
      <c r="G1211" s="5">
        <v>0</v>
      </c>
      <c r="H1211" s="5" t="s">
        <v>74</v>
      </c>
      <c r="I1211" s="5">
        <v>0</v>
      </c>
      <c r="J1211" s="5" t="s">
        <v>74</v>
      </c>
      <c r="K1211" s="7">
        <v>0</v>
      </c>
      <c r="L1211" s="8">
        <v>17</v>
      </c>
      <c r="M1211" s="9"/>
    </row>
    <row r="1212" s="1" customFormat="1" ht="20.1" customHeight="1" spans="1:13">
      <c r="A1212" s="4" t="str">
        <f>"37502022022716465720474"</f>
        <v>37502022022716465720474</v>
      </c>
      <c r="B1212" s="4" t="s">
        <v>1185</v>
      </c>
      <c r="C1212" s="4" t="s">
        <v>1200</v>
      </c>
      <c r="D1212" s="4" t="str">
        <f>"20220234104"</f>
        <v>20220234104</v>
      </c>
      <c r="E1212" s="4" t="str">
        <f t="shared" ref="E1212:E1218" si="233">"41"</f>
        <v>41</v>
      </c>
      <c r="F1212" s="4" t="str">
        <f>"04"</f>
        <v>04</v>
      </c>
      <c r="G1212" s="5">
        <v>0</v>
      </c>
      <c r="H1212" s="5" t="s">
        <v>74</v>
      </c>
      <c r="I1212" s="5">
        <v>0</v>
      </c>
      <c r="J1212" s="5" t="s">
        <v>74</v>
      </c>
      <c r="K1212" s="7">
        <v>0</v>
      </c>
      <c r="L1212" s="8">
        <v>17</v>
      </c>
      <c r="M1212" s="9"/>
    </row>
    <row r="1213" s="1" customFormat="1" ht="20.1" customHeight="1" spans="1:13">
      <c r="A1213" s="4" t="str">
        <f>"37502022022716501020477"</f>
        <v>37502022022716501020477</v>
      </c>
      <c r="B1213" s="4" t="s">
        <v>1185</v>
      </c>
      <c r="C1213" s="4" t="s">
        <v>1201</v>
      </c>
      <c r="D1213" s="4" t="str">
        <f>"20220234101"</f>
        <v>20220234101</v>
      </c>
      <c r="E1213" s="4" t="str">
        <f t="shared" si="233"/>
        <v>41</v>
      </c>
      <c r="F1213" s="4" t="str">
        <f>"01"</f>
        <v>01</v>
      </c>
      <c r="G1213" s="5">
        <v>0</v>
      </c>
      <c r="H1213" s="5" t="s">
        <v>74</v>
      </c>
      <c r="I1213" s="5">
        <v>0</v>
      </c>
      <c r="J1213" s="5" t="s">
        <v>74</v>
      </c>
      <c r="K1213" s="7">
        <v>0</v>
      </c>
      <c r="L1213" s="8">
        <v>17</v>
      </c>
      <c r="M1213" s="9"/>
    </row>
    <row r="1214" s="1" customFormat="1" ht="20.1" customHeight="1" spans="1:13">
      <c r="A1214" s="4" t="str">
        <f>"37502022030111183023515"</f>
        <v>37502022030111183023515</v>
      </c>
      <c r="B1214" s="4" t="s">
        <v>1185</v>
      </c>
      <c r="C1214" s="4" t="s">
        <v>1202</v>
      </c>
      <c r="D1214" s="4" t="str">
        <f>"20220234026"</f>
        <v>20220234026</v>
      </c>
      <c r="E1214" s="4" t="str">
        <f>"40"</f>
        <v>40</v>
      </c>
      <c r="F1214" s="4" t="str">
        <f>"26"</f>
        <v>26</v>
      </c>
      <c r="G1214" s="5">
        <v>0</v>
      </c>
      <c r="H1214" s="5" t="s">
        <v>74</v>
      </c>
      <c r="I1214" s="5">
        <v>0</v>
      </c>
      <c r="J1214" s="5" t="s">
        <v>74</v>
      </c>
      <c r="K1214" s="7">
        <v>0</v>
      </c>
      <c r="L1214" s="8">
        <v>17</v>
      </c>
      <c r="M1214" s="9"/>
    </row>
    <row r="1215" s="1" customFormat="1" ht="20.1" customHeight="1" spans="1:13">
      <c r="A1215" s="4" t="str">
        <f>"37502022030113560723789"</f>
        <v>37502022030113560723789</v>
      </c>
      <c r="B1215" s="4" t="s">
        <v>1185</v>
      </c>
      <c r="C1215" s="4" t="s">
        <v>1203</v>
      </c>
      <c r="D1215" s="4" t="str">
        <f>"20220234105"</f>
        <v>20220234105</v>
      </c>
      <c r="E1215" s="4" t="str">
        <f t="shared" si="233"/>
        <v>41</v>
      </c>
      <c r="F1215" s="4" t="str">
        <f>"05"</f>
        <v>05</v>
      </c>
      <c r="G1215" s="5">
        <v>0</v>
      </c>
      <c r="H1215" s="5" t="s">
        <v>74</v>
      </c>
      <c r="I1215" s="5">
        <v>0</v>
      </c>
      <c r="J1215" s="5" t="s">
        <v>74</v>
      </c>
      <c r="K1215" s="7">
        <v>0</v>
      </c>
      <c r="L1215" s="8">
        <v>17</v>
      </c>
      <c r="M1215" s="9"/>
    </row>
    <row r="1216" s="1" customFormat="1" ht="20.1" customHeight="1" spans="1:13">
      <c r="A1216" s="4" t="str">
        <f>"37502022030115164723895"</f>
        <v>37502022030115164723895</v>
      </c>
      <c r="B1216" s="4" t="s">
        <v>1185</v>
      </c>
      <c r="C1216" s="4" t="s">
        <v>1204</v>
      </c>
      <c r="D1216" s="4" t="str">
        <f>"20220234106"</f>
        <v>20220234106</v>
      </c>
      <c r="E1216" s="4" t="str">
        <f t="shared" si="233"/>
        <v>41</v>
      </c>
      <c r="F1216" s="4" t="str">
        <f>"06"</f>
        <v>06</v>
      </c>
      <c r="G1216" s="5">
        <v>0</v>
      </c>
      <c r="H1216" s="5" t="s">
        <v>74</v>
      </c>
      <c r="I1216" s="5">
        <v>0</v>
      </c>
      <c r="J1216" s="5" t="s">
        <v>74</v>
      </c>
      <c r="K1216" s="7">
        <v>0</v>
      </c>
      <c r="L1216" s="8">
        <v>17</v>
      </c>
      <c r="M1216" s="9"/>
    </row>
    <row r="1217" s="1" customFormat="1" ht="20.1" customHeight="1" spans="1:13">
      <c r="A1217" s="4" t="str">
        <f>"37502022030210203325011"</f>
        <v>37502022030210203325011</v>
      </c>
      <c r="B1217" s="4" t="s">
        <v>1185</v>
      </c>
      <c r="C1217" s="4" t="s">
        <v>1205</v>
      </c>
      <c r="D1217" s="4" t="str">
        <f>"20220234115"</f>
        <v>20220234115</v>
      </c>
      <c r="E1217" s="4" t="str">
        <f t="shared" si="233"/>
        <v>41</v>
      </c>
      <c r="F1217" s="4" t="str">
        <f>"15"</f>
        <v>15</v>
      </c>
      <c r="G1217" s="5">
        <v>0</v>
      </c>
      <c r="H1217" s="5" t="s">
        <v>74</v>
      </c>
      <c r="I1217" s="5">
        <v>0</v>
      </c>
      <c r="J1217" s="5" t="s">
        <v>74</v>
      </c>
      <c r="K1217" s="7">
        <v>0</v>
      </c>
      <c r="L1217" s="8">
        <v>17</v>
      </c>
      <c r="M1217" s="9"/>
    </row>
    <row r="1218" s="1" customFormat="1" ht="20.1" customHeight="1" spans="1:13">
      <c r="A1218" s="4" t="str">
        <f>"37502022030220184225899"</f>
        <v>37502022030220184225899</v>
      </c>
      <c r="B1218" s="4" t="s">
        <v>1185</v>
      </c>
      <c r="C1218" s="4" t="s">
        <v>1206</v>
      </c>
      <c r="D1218" s="4" t="str">
        <f>"20220234112"</f>
        <v>20220234112</v>
      </c>
      <c r="E1218" s="4" t="str">
        <f t="shared" si="233"/>
        <v>41</v>
      </c>
      <c r="F1218" s="4" t="str">
        <f>"12"</f>
        <v>12</v>
      </c>
      <c r="G1218" s="5">
        <v>0</v>
      </c>
      <c r="H1218" s="5" t="s">
        <v>74</v>
      </c>
      <c r="I1218" s="5">
        <v>0</v>
      </c>
      <c r="J1218" s="5" t="s">
        <v>74</v>
      </c>
      <c r="K1218" s="7">
        <v>0</v>
      </c>
      <c r="L1218" s="8">
        <v>17</v>
      </c>
      <c r="M1218" s="9"/>
    </row>
    <row r="1219" s="1" customFormat="1" ht="20.1" customHeight="1" spans="1:13">
      <c r="A1219" s="4" t="str">
        <f>"37502022030111540023579"</f>
        <v>37502022030111540023579</v>
      </c>
      <c r="B1219" s="4" t="s">
        <v>1207</v>
      </c>
      <c r="C1219" s="4" t="s">
        <v>1208</v>
      </c>
      <c r="D1219" s="4" t="str">
        <f>"20220244203"</f>
        <v>20220244203</v>
      </c>
      <c r="E1219" s="4" t="str">
        <f t="shared" ref="E1219:E1222" si="234">"42"</f>
        <v>42</v>
      </c>
      <c r="F1219" s="4" t="str">
        <f>"03"</f>
        <v>03</v>
      </c>
      <c r="G1219" s="5">
        <v>80.44</v>
      </c>
      <c r="H1219" s="5" t="s">
        <v>14</v>
      </c>
      <c r="I1219" s="5">
        <v>86</v>
      </c>
      <c r="J1219" s="5" t="s">
        <v>14</v>
      </c>
      <c r="K1219" s="7">
        <v>84.33</v>
      </c>
      <c r="L1219" s="8">
        <v>1</v>
      </c>
      <c r="M1219" s="9"/>
    </row>
    <row r="1220" s="1" customFormat="1" ht="20.1" customHeight="1" spans="1:13">
      <c r="A1220" s="4" t="str">
        <f>"37502022022716094220410"</f>
        <v>37502022022716094220410</v>
      </c>
      <c r="B1220" s="4" t="s">
        <v>1207</v>
      </c>
      <c r="C1220" s="4" t="s">
        <v>1209</v>
      </c>
      <c r="D1220" s="4" t="str">
        <f>"20220244204"</f>
        <v>20220244204</v>
      </c>
      <c r="E1220" s="4" t="str">
        <f t="shared" si="234"/>
        <v>42</v>
      </c>
      <c r="F1220" s="4" t="str">
        <f>"04"</f>
        <v>04</v>
      </c>
      <c r="G1220" s="5">
        <v>84.96</v>
      </c>
      <c r="H1220" s="5" t="s">
        <v>14</v>
      </c>
      <c r="I1220" s="5">
        <v>78.9</v>
      </c>
      <c r="J1220" s="5" t="s">
        <v>14</v>
      </c>
      <c r="K1220" s="7">
        <v>80.72</v>
      </c>
      <c r="L1220" s="8">
        <v>2</v>
      </c>
      <c r="M1220" s="9"/>
    </row>
    <row r="1221" s="1" customFormat="1" ht="20.1" customHeight="1" spans="1:13">
      <c r="A1221" s="4" t="str">
        <f>"37502022022815340722501"</f>
        <v>37502022022815340722501</v>
      </c>
      <c r="B1221" s="4" t="s">
        <v>1207</v>
      </c>
      <c r="C1221" s="4" t="s">
        <v>1210</v>
      </c>
      <c r="D1221" s="4" t="str">
        <f>"20220244207"</f>
        <v>20220244207</v>
      </c>
      <c r="E1221" s="4" t="str">
        <f t="shared" si="234"/>
        <v>42</v>
      </c>
      <c r="F1221" s="4" t="str">
        <f>"07"</f>
        <v>07</v>
      </c>
      <c r="G1221" s="5">
        <v>77.73</v>
      </c>
      <c r="H1221" s="5" t="s">
        <v>14</v>
      </c>
      <c r="I1221" s="5">
        <v>80.7</v>
      </c>
      <c r="J1221" s="5" t="s">
        <v>14</v>
      </c>
      <c r="K1221" s="7">
        <v>79.81</v>
      </c>
      <c r="L1221" s="8">
        <v>3</v>
      </c>
      <c r="M1221" s="9"/>
    </row>
    <row r="1222" s="1" customFormat="1" ht="20.1" customHeight="1" spans="1:13">
      <c r="A1222" s="4" t="str">
        <f>"37502022030121311924588"</f>
        <v>37502022030121311924588</v>
      </c>
      <c r="B1222" s="4" t="s">
        <v>1207</v>
      </c>
      <c r="C1222" s="4" t="s">
        <v>1211</v>
      </c>
      <c r="D1222" s="4" t="str">
        <f>"20220244212"</f>
        <v>20220244212</v>
      </c>
      <c r="E1222" s="4" t="str">
        <f t="shared" si="234"/>
        <v>42</v>
      </c>
      <c r="F1222" s="4" t="str">
        <f>"12"</f>
        <v>12</v>
      </c>
      <c r="G1222" s="5">
        <v>75.34</v>
      </c>
      <c r="H1222" s="5" t="s">
        <v>14</v>
      </c>
      <c r="I1222" s="5">
        <v>80.1</v>
      </c>
      <c r="J1222" s="5" t="s">
        <v>14</v>
      </c>
      <c r="K1222" s="7">
        <v>78.67</v>
      </c>
      <c r="L1222" s="8">
        <v>4</v>
      </c>
      <c r="M1222" s="9"/>
    </row>
    <row r="1223" s="1" customFormat="1" ht="20.1" customHeight="1" spans="1:13">
      <c r="A1223" s="4" t="str">
        <f>"37502022022815391622526"</f>
        <v>37502022022815391622526</v>
      </c>
      <c r="B1223" s="4" t="s">
        <v>1207</v>
      </c>
      <c r="C1223" s="4" t="s">
        <v>1212</v>
      </c>
      <c r="D1223" s="4" t="str">
        <f>"20220244126"</f>
        <v>20220244126</v>
      </c>
      <c r="E1223" s="4" t="str">
        <f t="shared" ref="E1223:E1230" si="235">"41"</f>
        <v>41</v>
      </c>
      <c r="F1223" s="4" t="str">
        <f>"26"</f>
        <v>26</v>
      </c>
      <c r="G1223" s="5">
        <v>78.64</v>
      </c>
      <c r="H1223" s="5" t="s">
        <v>14</v>
      </c>
      <c r="I1223" s="5">
        <v>74.1</v>
      </c>
      <c r="J1223" s="5" t="s">
        <v>14</v>
      </c>
      <c r="K1223" s="7">
        <v>75.46</v>
      </c>
      <c r="L1223" s="8">
        <v>5</v>
      </c>
      <c r="M1223" s="9"/>
    </row>
    <row r="1224" s="1" customFormat="1" ht="20.1" customHeight="1" spans="1:13">
      <c r="A1224" s="4" t="str">
        <f>"37502022030111500823575"</f>
        <v>37502022030111500823575</v>
      </c>
      <c r="B1224" s="4" t="s">
        <v>1207</v>
      </c>
      <c r="C1224" s="4" t="s">
        <v>1213</v>
      </c>
      <c r="D1224" s="4" t="str">
        <f>"20220244202"</f>
        <v>20220244202</v>
      </c>
      <c r="E1224" s="4" t="str">
        <f>"42"</f>
        <v>42</v>
      </c>
      <c r="F1224" s="4" t="str">
        <f>"02"</f>
        <v>02</v>
      </c>
      <c r="G1224" s="5">
        <v>75.61</v>
      </c>
      <c r="H1224" s="5" t="s">
        <v>14</v>
      </c>
      <c r="I1224" s="5">
        <v>75.4</v>
      </c>
      <c r="J1224" s="5" t="s">
        <v>14</v>
      </c>
      <c r="K1224" s="7">
        <v>75.46</v>
      </c>
      <c r="L1224" s="8">
        <v>5</v>
      </c>
      <c r="M1224" s="9"/>
    </row>
    <row r="1225" s="1" customFormat="1" ht="20.1" customHeight="1" spans="1:13">
      <c r="A1225" s="4" t="str">
        <f>"37502022022609402218760"</f>
        <v>37502022022609402218760</v>
      </c>
      <c r="B1225" s="4" t="s">
        <v>1207</v>
      </c>
      <c r="C1225" s="4" t="s">
        <v>1214</v>
      </c>
      <c r="D1225" s="4" t="str">
        <f>"20220244121"</f>
        <v>20220244121</v>
      </c>
      <c r="E1225" s="4" t="str">
        <f t="shared" si="235"/>
        <v>41</v>
      </c>
      <c r="F1225" s="4" t="str">
        <f>"21"</f>
        <v>21</v>
      </c>
      <c r="G1225" s="5">
        <v>72.04</v>
      </c>
      <c r="H1225" s="5" t="s">
        <v>14</v>
      </c>
      <c r="I1225" s="5">
        <v>76.8</v>
      </c>
      <c r="J1225" s="5" t="s">
        <v>14</v>
      </c>
      <c r="K1225" s="7">
        <v>75.37</v>
      </c>
      <c r="L1225" s="8">
        <v>7</v>
      </c>
      <c r="M1225" s="9"/>
    </row>
    <row r="1226" s="1" customFormat="1" ht="20.1" customHeight="1" spans="1:13">
      <c r="A1226" s="4" t="str">
        <f>"37502022022619231719554"</f>
        <v>37502022022619231719554</v>
      </c>
      <c r="B1226" s="4" t="s">
        <v>1207</v>
      </c>
      <c r="C1226" s="4" t="s">
        <v>1215</v>
      </c>
      <c r="D1226" s="4" t="str">
        <f>"20220244124"</f>
        <v>20220244124</v>
      </c>
      <c r="E1226" s="4" t="str">
        <f t="shared" si="235"/>
        <v>41</v>
      </c>
      <c r="F1226" s="4" t="str">
        <f>"24"</f>
        <v>24</v>
      </c>
      <c r="G1226" s="5">
        <v>76.47</v>
      </c>
      <c r="H1226" s="5" t="s">
        <v>14</v>
      </c>
      <c r="I1226" s="5">
        <v>72.4</v>
      </c>
      <c r="J1226" s="5" t="s">
        <v>14</v>
      </c>
      <c r="K1226" s="7">
        <v>73.62</v>
      </c>
      <c r="L1226" s="8">
        <v>8</v>
      </c>
      <c r="M1226" s="9"/>
    </row>
    <row r="1227" s="1" customFormat="1" ht="20.1" customHeight="1" spans="1:13">
      <c r="A1227" s="4" t="str">
        <f>"37502022030118554324286"</f>
        <v>37502022030118554324286</v>
      </c>
      <c r="B1227" s="4" t="s">
        <v>1207</v>
      </c>
      <c r="C1227" s="4" t="s">
        <v>1216</v>
      </c>
      <c r="D1227" s="4" t="str">
        <f>"20220244118"</f>
        <v>20220244118</v>
      </c>
      <c r="E1227" s="4" t="str">
        <f t="shared" si="235"/>
        <v>41</v>
      </c>
      <c r="F1227" s="4" t="str">
        <f>"18"</f>
        <v>18</v>
      </c>
      <c r="G1227" s="5">
        <v>65.83</v>
      </c>
      <c r="H1227" s="5" t="s">
        <v>14</v>
      </c>
      <c r="I1227" s="5">
        <v>76.1</v>
      </c>
      <c r="J1227" s="5" t="s">
        <v>14</v>
      </c>
      <c r="K1227" s="7">
        <v>73.02</v>
      </c>
      <c r="L1227" s="8">
        <v>9</v>
      </c>
      <c r="M1227" s="9"/>
    </row>
    <row r="1228" s="1" customFormat="1" ht="20.1" customHeight="1" spans="1:13">
      <c r="A1228" s="4" t="str">
        <f>"37502022030222065426078"</f>
        <v>37502022030222065426078</v>
      </c>
      <c r="B1228" s="4" t="s">
        <v>1207</v>
      </c>
      <c r="C1228" s="4" t="s">
        <v>1217</v>
      </c>
      <c r="D1228" s="4" t="str">
        <f>"20220244122"</f>
        <v>20220244122</v>
      </c>
      <c r="E1228" s="4" t="str">
        <f t="shared" si="235"/>
        <v>41</v>
      </c>
      <c r="F1228" s="4" t="str">
        <f>"22"</f>
        <v>22</v>
      </c>
      <c r="G1228" s="5">
        <v>69.86</v>
      </c>
      <c r="H1228" s="5" t="s">
        <v>14</v>
      </c>
      <c r="I1228" s="5">
        <v>73.4</v>
      </c>
      <c r="J1228" s="5" t="s">
        <v>14</v>
      </c>
      <c r="K1228" s="7">
        <v>72.34</v>
      </c>
      <c r="L1228" s="8">
        <v>10</v>
      </c>
      <c r="M1228" s="9"/>
    </row>
    <row r="1229" s="1" customFormat="1" ht="20.1" customHeight="1" spans="1:13">
      <c r="A1229" s="4" t="str">
        <f>"37502022030112193823623"</f>
        <v>37502022030112193823623</v>
      </c>
      <c r="B1229" s="4" t="s">
        <v>1207</v>
      </c>
      <c r="C1229" s="4" t="s">
        <v>1218</v>
      </c>
      <c r="D1229" s="4" t="str">
        <f>"20220244129"</f>
        <v>20220244129</v>
      </c>
      <c r="E1229" s="4" t="str">
        <f t="shared" si="235"/>
        <v>41</v>
      </c>
      <c r="F1229" s="4" t="str">
        <f>"29"</f>
        <v>29</v>
      </c>
      <c r="G1229" s="5">
        <v>62.67</v>
      </c>
      <c r="H1229" s="5" t="s">
        <v>14</v>
      </c>
      <c r="I1229" s="5">
        <v>72.7</v>
      </c>
      <c r="J1229" s="5" t="s">
        <v>14</v>
      </c>
      <c r="K1229" s="7">
        <v>69.69</v>
      </c>
      <c r="L1229" s="8">
        <v>11</v>
      </c>
      <c r="M1229" s="9"/>
    </row>
    <row r="1230" s="1" customFormat="1" ht="20.1" customHeight="1" spans="1:13">
      <c r="A1230" s="4" t="str">
        <f>"37502022030110211023379"</f>
        <v>37502022030110211023379</v>
      </c>
      <c r="B1230" s="4" t="s">
        <v>1207</v>
      </c>
      <c r="C1230" s="4" t="s">
        <v>1219</v>
      </c>
      <c r="D1230" s="4" t="str">
        <f>"20220244117"</f>
        <v>20220244117</v>
      </c>
      <c r="E1230" s="4" t="str">
        <f t="shared" si="235"/>
        <v>41</v>
      </c>
      <c r="F1230" s="4" t="str">
        <f>"17"</f>
        <v>17</v>
      </c>
      <c r="G1230" s="5">
        <v>69.27</v>
      </c>
      <c r="H1230" s="5" t="s">
        <v>14</v>
      </c>
      <c r="I1230" s="5">
        <v>69.2</v>
      </c>
      <c r="J1230" s="5" t="s">
        <v>14</v>
      </c>
      <c r="K1230" s="7">
        <v>69.22</v>
      </c>
      <c r="L1230" s="8">
        <v>12</v>
      </c>
      <c r="M1230" s="9"/>
    </row>
    <row r="1231" s="1" customFormat="1" ht="20.1" customHeight="1" spans="1:13">
      <c r="A1231" s="4" t="str">
        <f>"37502022030107444523107"</f>
        <v>37502022030107444523107</v>
      </c>
      <c r="B1231" s="4" t="s">
        <v>1207</v>
      </c>
      <c r="C1231" s="4" t="s">
        <v>1220</v>
      </c>
      <c r="D1231" s="4" t="str">
        <f>"20220244201"</f>
        <v>20220244201</v>
      </c>
      <c r="E1231" s="4" t="str">
        <f t="shared" ref="E1231:E1234" si="236">"42"</f>
        <v>42</v>
      </c>
      <c r="F1231" s="4" t="str">
        <f>"01"</f>
        <v>01</v>
      </c>
      <c r="G1231" s="5">
        <v>69.2</v>
      </c>
      <c r="H1231" s="5" t="s">
        <v>14</v>
      </c>
      <c r="I1231" s="5">
        <v>68.4</v>
      </c>
      <c r="J1231" s="5" t="s">
        <v>14</v>
      </c>
      <c r="K1231" s="7">
        <v>68.64</v>
      </c>
      <c r="L1231" s="8">
        <v>13</v>
      </c>
      <c r="M1231" s="9"/>
    </row>
    <row r="1232" s="1" customFormat="1" ht="20.1" customHeight="1" spans="1:13">
      <c r="A1232" s="4" t="str">
        <f>"37502022022614052619203"</f>
        <v>37502022022614052619203</v>
      </c>
      <c r="B1232" s="4" t="s">
        <v>1207</v>
      </c>
      <c r="C1232" s="4" t="s">
        <v>1221</v>
      </c>
      <c r="D1232" s="4" t="str">
        <f>"20220244127"</f>
        <v>20220244127</v>
      </c>
      <c r="E1232" s="4" t="str">
        <f t="shared" ref="E1232:E1237" si="237">"41"</f>
        <v>41</v>
      </c>
      <c r="F1232" s="4" t="str">
        <f>"27"</f>
        <v>27</v>
      </c>
      <c r="G1232" s="5">
        <v>64.69</v>
      </c>
      <c r="H1232" s="5" t="s">
        <v>14</v>
      </c>
      <c r="I1232" s="5">
        <v>69.9</v>
      </c>
      <c r="J1232" s="5" t="s">
        <v>14</v>
      </c>
      <c r="K1232" s="7">
        <v>68.34</v>
      </c>
      <c r="L1232" s="8">
        <v>14</v>
      </c>
      <c r="M1232" s="9"/>
    </row>
    <row r="1233" s="1" customFormat="1" ht="20.1" customHeight="1" spans="1:13">
      <c r="A1233" s="4" t="str">
        <f>"37502022030208454424848"</f>
        <v>37502022030208454424848</v>
      </c>
      <c r="B1233" s="4" t="s">
        <v>1207</v>
      </c>
      <c r="C1233" s="4" t="s">
        <v>1222</v>
      </c>
      <c r="D1233" s="4" t="str">
        <f>"20220244205"</f>
        <v>20220244205</v>
      </c>
      <c r="E1233" s="4" t="str">
        <f t="shared" si="236"/>
        <v>42</v>
      </c>
      <c r="F1233" s="4" t="str">
        <f>"05"</f>
        <v>05</v>
      </c>
      <c r="G1233" s="5">
        <v>66.81</v>
      </c>
      <c r="H1233" s="5" t="s">
        <v>14</v>
      </c>
      <c r="I1233" s="5">
        <v>68.8</v>
      </c>
      <c r="J1233" s="5" t="s">
        <v>14</v>
      </c>
      <c r="K1233" s="7">
        <v>68.2</v>
      </c>
      <c r="L1233" s="8">
        <v>15</v>
      </c>
      <c r="M1233" s="9"/>
    </row>
    <row r="1234" s="1" customFormat="1" ht="20.1" customHeight="1" spans="1:13">
      <c r="A1234" s="4" t="str">
        <f>"37502022030220074425878"</f>
        <v>37502022030220074425878</v>
      </c>
      <c r="B1234" s="4" t="s">
        <v>1207</v>
      </c>
      <c r="C1234" s="4" t="s">
        <v>1223</v>
      </c>
      <c r="D1234" s="4" t="str">
        <f>"20220244211"</f>
        <v>20220244211</v>
      </c>
      <c r="E1234" s="4" t="str">
        <f t="shared" si="236"/>
        <v>42</v>
      </c>
      <c r="F1234" s="4" t="str">
        <f>"11"</f>
        <v>11</v>
      </c>
      <c r="G1234" s="5">
        <v>61.14</v>
      </c>
      <c r="H1234" s="5" t="s">
        <v>14</v>
      </c>
      <c r="I1234" s="5">
        <v>68.1</v>
      </c>
      <c r="J1234" s="5" t="s">
        <v>14</v>
      </c>
      <c r="K1234" s="7">
        <v>66.01</v>
      </c>
      <c r="L1234" s="8">
        <v>16</v>
      </c>
      <c r="M1234" s="9"/>
    </row>
    <row r="1235" s="1" customFormat="1" ht="20.1" customHeight="1" spans="1:13">
      <c r="A1235" s="4" t="str">
        <f>"37502022030111364223552"</f>
        <v>37502022030111364223552</v>
      </c>
      <c r="B1235" s="4" t="s">
        <v>1207</v>
      </c>
      <c r="C1235" s="4" t="s">
        <v>1224</v>
      </c>
      <c r="D1235" s="4" t="str">
        <f>"20220244119"</f>
        <v>20220244119</v>
      </c>
      <c r="E1235" s="4" t="str">
        <f t="shared" si="237"/>
        <v>41</v>
      </c>
      <c r="F1235" s="4" t="str">
        <f>"19"</f>
        <v>19</v>
      </c>
      <c r="G1235" s="5">
        <v>63.26</v>
      </c>
      <c r="H1235" s="5" t="s">
        <v>14</v>
      </c>
      <c r="I1235" s="5">
        <v>67</v>
      </c>
      <c r="J1235" s="5" t="s">
        <v>14</v>
      </c>
      <c r="K1235" s="7">
        <v>65.88</v>
      </c>
      <c r="L1235" s="8">
        <v>17</v>
      </c>
      <c r="M1235" s="9"/>
    </row>
    <row r="1236" s="1" customFormat="1" ht="20.1" customHeight="1" spans="1:13">
      <c r="A1236" s="4" t="str">
        <f>"37502022030221100825990"</f>
        <v>37502022030221100825990</v>
      </c>
      <c r="B1236" s="4" t="s">
        <v>1207</v>
      </c>
      <c r="C1236" s="4" t="s">
        <v>1225</v>
      </c>
      <c r="D1236" s="4" t="str">
        <f>"20220244208"</f>
        <v>20220244208</v>
      </c>
      <c r="E1236" s="4" t="str">
        <f t="shared" ref="E1236:E1239" si="238">"42"</f>
        <v>42</v>
      </c>
      <c r="F1236" s="4" t="str">
        <f>"08"</f>
        <v>08</v>
      </c>
      <c r="G1236" s="5">
        <v>59.83</v>
      </c>
      <c r="H1236" s="5" t="s">
        <v>14</v>
      </c>
      <c r="I1236" s="5">
        <v>57.8</v>
      </c>
      <c r="J1236" s="5" t="s">
        <v>14</v>
      </c>
      <c r="K1236" s="7">
        <v>58.41</v>
      </c>
      <c r="L1236" s="8">
        <v>18</v>
      </c>
      <c r="M1236" s="9"/>
    </row>
    <row r="1237" s="1" customFormat="1" ht="20.1" customHeight="1" spans="1:13">
      <c r="A1237" s="4" t="str">
        <f>"37502022022612153219066"</f>
        <v>37502022022612153219066</v>
      </c>
      <c r="B1237" s="4" t="s">
        <v>1207</v>
      </c>
      <c r="C1237" s="4" t="s">
        <v>1226</v>
      </c>
      <c r="D1237" s="4" t="str">
        <f>"20220244125"</f>
        <v>20220244125</v>
      </c>
      <c r="E1237" s="4" t="str">
        <f t="shared" si="237"/>
        <v>41</v>
      </c>
      <c r="F1237" s="4" t="str">
        <f>"25"</f>
        <v>25</v>
      </c>
      <c r="G1237" s="5">
        <v>0</v>
      </c>
      <c r="H1237" s="5" t="s">
        <v>74</v>
      </c>
      <c r="I1237" s="5">
        <v>0</v>
      </c>
      <c r="J1237" s="5" t="s">
        <v>74</v>
      </c>
      <c r="K1237" s="7">
        <v>0</v>
      </c>
      <c r="L1237" s="8">
        <v>19</v>
      </c>
      <c r="M1237" s="9"/>
    </row>
    <row r="1238" s="1" customFormat="1" ht="20.1" customHeight="1" spans="1:13">
      <c r="A1238" s="4" t="str">
        <f>"37502022022614183919223"</f>
        <v>37502022022614183919223</v>
      </c>
      <c r="B1238" s="4" t="s">
        <v>1207</v>
      </c>
      <c r="C1238" s="4" t="s">
        <v>1227</v>
      </c>
      <c r="D1238" s="4" t="str">
        <f>"20220244210"</f>
        <v>20220244210</v>
      </c>
      <c r="E1238" s="4" t="str">
        <f t="shared" si="238"/>
        <v>42</v>
      </c>
      <c r="F1238" s="4" t="str">
        <f>"10"</f>
        <v>10</v>
      </c>
      <c r="G1238" s="5">
        <v>0</v>
      </c>
      <c r="H1238" s="5" t="s">
        <v>74</v>
      </c>
      <c r="I1238" s="5">
        <v>0</v>
      </c>
      <c r="J1238" s="5" t="s">
        <v>74</v>
      </c>
      <c r="K1238" s="7">
        <v>0</v>
      </c>
      <c r="L1238" s="8">
        <v>19</v>
      </c>
      <c r="M1238" s="9"/>
    </row>
    <row r="1239" s="1" customFormat="1" ht="20.1" customHeight="1" spans="1:13">
      <c r="A1239" s="4" t="str">
        <f>"37502022022811494621841"</f>
        <v>37502022022811494621841</v>
      </c>
      <c r="B1239" s="4" t="s">
        <v>1207</v>
      </c>
      <c r="C1239" s="4" t="s">
        <v>1228</v>
      </c>
      <c r="D1239" s="4" t="str">
        <f>"20220244206"</f>
        <v>20220244206</v>
      </c>
      <c r="E1239" s="4" t="str">
        <f t="shared" si="238"/>
        <v>42</v>
      </c>
      <c r="F1239" s="4" t="str">
        <f>"06"</f>
        <v>06</v>
      </c>
      <c r="G1239" s="5">
        <v>0</v>
      </c>
      <c r="H1239" s="5" t="s">
        <v>74</v>
      </c>
      <c r="I1239" s="5">
        <v>0</v>
      </c>
      <c r="J1239" s="5" t="s">
        <v>74</v>
      </c>
      <c r="K1239" s="7">
        <v>0</v>
      </c>
      <c r="L1239" s="8">
        <v>19</v>
      </c>
      <c r="M1239" s="9"/>
    </row>
    <row r="1240" s="1" customFormat="1" ht="20.1" customHeight="1" spans="1:13">
      <c r="A1240" s="4" t="str">
        <f>"37502022030110380723421"</f>
        <v>37502022030110380723421</v>
      </c>
      <c r="B1240" s="4" t="s">
        <v>1207</v>
      </c>
      <c r="C1240" s="4" t="s">
        <v>1229</v>
      </c>
      <c r="D1240" s="4" t="str">
        <f>"20220244128"</f>
        <v>20220244128</v>
      </c>
      <c r="E1240" s="4" t="str">
        <f t="shared" ref="E1240:E1244" si="239">"41"</f>
        <v>41</v>
      </c>
      <c r="F1240" s="4" t="str">
        <f>"28"</f>
        <v>28</v>
      </c>
      <c r="G1240" s="5">
        <v>0</v>
      </c>
      <c r="H1240" s="5" t="s">
        <v>74</v>
      </c>
      <c r="I1240" s="5">
        <v>0</v>
      </c>
      <c r="J1240" s="5" t="s">
        <v>74</v>
      </c>
      <c r="K1240" s="7">
        <v>0</v>
      </c>
      <c r="L1240" s="8">
        <v>19</v>
      </c>
      <c r="M1240" s="9"/>
    </row>
    <row r="1241" s="1" customFormat="1" ht="20.1" customHeight="1" spans="1:13">
      <c r="A1241" s="4" t="str">
        <f>"37502022030111112323501"</f>
        <v>37502022030111112323501</v>
      </c>
      <c r="B1241" s="4" t="s">
        <v>1207</v>
      </c>
      <c r="C1241" s="4" t="s">
        <v>1230</v>
      </c>
      <c r="D1241" s="4" t="str">
        <f>"20220244120"</f>
        <v>20220244120</v>
      </c>
      <c r="E1241" s="4" t="str">
        <f t="shared" si="239"/>
        <v>41</v>
      </c>
      <c r="F1241" s="4" t="str">
        <f>"20"</f>
        <v>20</v>
      </c>
      <c r="G1241" s="5">
        <v>0</v>
      </c>
      <c r="H1241" s="5" t="s">
        <v>74</v>
      </c>
      <c r="I1241" s="5">
        <v>0</v>
      </c>
      <c r="J1241" s="5" t="s">
        <v>74</v>
      </c>
      <c r="K1241" s="7">
        <v>0</v>
      </c>
      <c r="L1241" s="8">
        <v>19</v>
      </c>
      <c r="M1241" s="9"/>
    </row>
    <row r="1242" s="1" customFormat="1" ht="20.1" customHeight="1" spans="1:13">
      <c r="A1242" s="4" t="str">
        <f>"37502022030115171523898"</f>
        <v>37502022030115171523898</v>
      </c>
      <c r="B1242" s="4" t="s">
        <v>1207</v>
      </c>
      <c r="C1242" s="4" t="s">
        <v>1231</v>
      </c>
      <c r="D1242" s="4" t="str">
        <f>"20220244209"</f>
        <v>20220244209</v>
      </c>
      <c r="E1242" s="4" t="str">
        <f>"42"</f>
        <v>42</v>
      </c>
      <c r="F1242" s="4" t="str">
        <f>"09"</f>
        <v>09</v>
      </c>
      <c r="G1242" s="5">
        <v>0</v>
      </c>
      <c r="H1242" s="5" t="s">
        <v>74</v>
      </c>
      <c r="I1242" s="5">
        <v>0</v>
      </c>
      <c r="J1242" s="5" t="s">
        <v>74</v>
      </c>
      <c r="K1242" s="7">
        <v>0</v>
      </c>
      <c r="L1242" s="8">
        <v>19</v>
      </c>
      <c r="M1242" s="9"/>
    </row>
    <row r="1243" s="1" customFormat="1" ht="20.1" customHeight="1" spans="1:13">
      <c r="A1243" s="4" t="str">
        <f>"37502022030220550525964"</f>
        <v>37502022030220550525964</v>
      </c>
      <c r="B1243" s="4" t="s">
        <v>1207</v>
      </c>
      <c r="C1243" s="4" t="s">
        <v>1232</v>
      </c>
      <c r="D1243" s="4" t="str">
        <f>"20220244130"</f>
        <v>20220244130</v>
      </c>
      <c r="E1243" s="4" t="str">
        <f t="shared" si="239"/>
        <v>41</v>
      </c>
      <c r="F1243" s="4" t="str">
        <f>"30"</f>
        <v>30</v>
      </c>
      <c r="G1243" s="5">
        <v>0</v>
      </c>
      <c r="H1243" s="5" t="s">
        <v>74</v>
      </c>
      <c r="I1243" s="5">
        <v>0</v>
      </c>
      <c r="J1243" s="5" t="s">
        <v>74</v>
      </c>
      <c r="K1243" s="7">
        <v>0</v>
      </c>
      <c r="L1243" s="8">
        <v>19</v>
      </c>
      <c r="M1243" s="9"/>
    </row>
    <row r="1244" s="1" customFormat="1" ht="20.1" customHeight="1" spans="1:13">
      <c r="A1244" s="4" t="str">
        <f>"37502022030222420626126"</f>
        <v>37502022030222420626126</v>
      </c>
      <c r="B1244" s="4" t="s">
        <v>1207</v>
      </c>
      <c r="C1244" s="4" t="s">
        <v>1233</v>
      </c>
      <c r="D1244" s="4" t="str">
        <f>"20220244123"</f>
        <v>20220244123</v>
      </c>
      <c r="E1244" s="4" t="str">
        <f t="shared" si="239"/>
        <v>41</v>
      </c>
      <c r="F1244" s="4" t="str">
        <f>"23"</f>
        <v>23</v>
      </c>
      <c r="G1244" s="5">
        <v>0</v>
      </c>
      <c r="H1244" s="5" t="s">
        <v>74</v>
      </c>
      <c r="I1244" s="5">
        <v>0</v>
      </c>
      <c r="J1244" s="5" t="s">
        <v>74</v>
      </c>
      <c r="K1244" s="7">
        <v>0</v>
      </c>
      <c r="L1244" s="8">
        <v>19</v>
      </c>
      <c r="M1244" s="9"/>
    </row>
    <row r="1245" s="1" customFormat="1" ht="20.1" customHeight="1" spans="1:13">
      <c r="A1245" s="4" t="str">
        <f>"37502022022810491021682"</f>
        <v>37502022022810491021682</v>
      </c>
      <c r="B1245" s="4" t="s">
        <v>1234</v>
      </c>
      <c r="C1245" s="4" t="s">
        <v>1235</v>
      </c>
      <c r="D1245" s="4" t="str">
        <f>"20220254214"</f>
        <v>20220254214</v>
      </c>
      <c r="E1245" s="4" t="str">
        <f>"42"</f>
        <v>42</v>
      </c>
      <c r="F1245" s="4" t="str">
        <f>"14"</f>
        <v>14</v>
      </c>
      <c r="G1245" s="5">
        <v>86.61</v>
      </c>
      <c r="H1245" s="5" t="s">
        <v>14</v>
      </c>
      <c r="I1245" s="5">
        <v>88.2</v>
      </c>
      <c r="J1245" s="5" t="s">
        <v>14</v>
      </c>
      <c r="K1245" s="7">
        <v>87.72</v>
      </c>
      <c r="L1245" s="8">
        <v>1</v>
      </c>
      <c r="M1245" s="9"/>
    </row>
    <row r="1246" s="1" customFormat="1" ht="20.1" customHeight="1" spans="1:13">
      <c r="A1246" s="4" t="str">
        <f>"37502022022609391718751"</f>
        <v>37502022022609391718751</v>
      </c>
      <c r="B1246" s="4" t="s">
        <v>1234</v>
      </c>
      <c r="C1246" s="4" t="s">
        <v>335</v>
      </c>
      <c r="D1246" s="4" t="str">
        <f>"20220254315"</f>
        <v>20220254315</v>
      </c>
      <c r="E1246" s="4" t="str">
        <f t="shared" ref="E1246:E1248" si="240">"43"</f>
        <v>43</v>
      </c>
      <c r="F1246" s="4" t="str">
        <f>"15"</f>
        <v>15</v>
      </c>
      <c r="G1246" s="5">
        <v>84.26</v>
      </c>
      <c r="H1246" s="5" t="s">
        <v>14</v>
      </c>
      <c r="I1246" s="5">
        <v>84.9</v>
      </c>
      <c r="J1246" s="5" t="s">
        <v>14</v>
      </c>
      <c r="K1246" s="7">
        <v>84.71</v>
      </c>
      <c r="L1246" s="8">
        <v>2</v>
      </c>
      <c r="M1246" s="9"/>
    </row>
    <row r="1247" s="1" customFormat="1" ht="20.1" customHeight="1" spans="1:13">
      <c r="A1247" s="4" t="str">
        <f>"37502022022619464319576"</f>
        <v>37502022022619464319576</v>
      </c>
      <c r="B1247" s="4" t="s">
        <v>1234</v>
      </c>
      <c r="C1247" s="4" t="s">
        <v>1236</v>
      </c>
      <c r="D1247" s="4" t="str">
        <f>"20220254314"</f>
        <v>20220254314</v>
      </c>
      <c r="E1247" s="4" t="str">
        <f t="shared" si="240"/>
        <v>43</v>
      </c>
      <c r="F1247" s="4" t="str">
        <f>"14"</f>
        <v>14</v>
      </c>
      <c r="G1247" s="5">
        <v>75.06</v>
      </c>
      <c r="H1247" s="5" t="s">
        <v>14</v>
      </c>
      <c r="I1247" s="5">
        <v>79.6</v>
      </c>
      <c r="J1247" s="5" t="s">
        <v>14</v>
      </c>
      <c r="K1247" s="7">
        <v>78.24</v>
      </c>
      <c r="L1247" s="8">
        <v>3</v>
      </c>
      <c r="M1247" s="9"/>
    </row>
    <row r="1248" s="1" customFormat="1" ht="20.1" customHeight="1" spans="1:13">
      <c r="A1248" s="4" t="str">
        <f>"37502022030209314424929"</f>
        <v>37502022030209314424929</v>
      </c>
      <c r="B1248" s="4" t="s">
        <v>1234</v>
      </c>
      <c r="C1248" s="4" t="s">
        <v>1237</v>
      </c>
      <c r="D1248" s="4" t="str">
        <f>"20220254303"</f>
        <v>20220254303</v>
      </c>
      <c r="E1248" s="4" t="str">
        <f t="shared" si="240"/>
        <v>43</v>
      </c>
      <c r="F1248" s="4" t="str">
        <f>"03"</f>
        <v>03</v>
      </c>
      <c r="G1248" s="5">
        <v>69.19</v>
      </c>
      <c r="H1248" s="5" t="s">
        <v>14</v>
      </c>
      <c r="I1248" s="5">
        <v>81.7</v>
      </c>
      <c r="J1248" s="5" t="s">
        <v>14</v>
      </c>
      <c r="K1248" s="7">
        <v>77.95</v>
      </c>
      <c r="L1248" s="8">
        <v>4</v>
      </c>
      <c r="M1248" s="9"/>
    </row>
    <row r="1249" s="1" customFormat="1" ht="20.1" customHeight="1" spans="1:13">
      <c r="A1249" s="4" t="str">
        <f>"37502022030120411624490"</f>
        <v>37502022030120411624490</v>
      </c>
      <c r="B1249" s="4" t="s">
        <v>1234</v>
      </c>
      <c r="C1249" s="4" t="s">
        <v>1238</v>
      </c>
      <c r="D1249" s="4" t="str">
        <f>"20220254218"</f>
        <v>20220254218</v>
      </c>
      <c r="E1249" s="4" t="str">
        <f t="shared" ref="E1249:E1252" si="241">"42"</f>
        <v>42</v>
      </c>
      <c r="F1249" s="4" t="str">
        <f>"18"</f>
        <v>18</v>
      </c>
      <c r="G1249" s="5">
        <v>74.04</v>
      </c>
      <c r="H1249" s="5" t="s">
        <v>14</v>
      </c>
      <c r="I1249" s="5">
        <v>79</v>
      </c>
      <c r="J1249" s="5" t="s">
        <v>14</v>
      </c>
      <c r="K1249" s="7">
        <v>77.51</v>
      </c>
      <c r="L1249" s="8">
        <v>5</v>
      </c>
      <c r="M1249" s="9"/>
    </row>
    <row r="1250" s="1" customFormat="1" ht="20.1" customHeight="1" spans="1:13">
      <c r="A1250" s="4" t="str">
        <f>"37502022022609395318756"</f>
        <v>37502022022609395318756</v>
      </c>
      <c r="B1250" s="4" t="s">
        <v>1234</v>
      </c>
      <c r="C1250" s="4" t="s">
        <v>1239</v>
      </c>
      <c r="D1250" s="4" t="str">
        <f>"20220254305"</f>
        <v>20220254305</v>
      </c>
      <c r="E1250" s="4" t="str">
        <f>"43"</f>
        <v>43</v>
      </c>
      <c r="F1250" s="4" t="str">
        <f>"05"</f>
        <v>05</v>
      </c>
      <c r="G1250" s="5">
        <v>72.76</v>
      </c>
      <c r="H1250" s="5" t="s">
        <v>14</v>
      </c>
      <c r="I1250" s="5">
        <v>79</v>
      </c>
      <c r="J1250" s="5" t="s">
        <v>14</v>
      </c>
      <c r="K1250" s="7">
        <v>77.13</v>
      </c>
      <c r="L1250" s="8">
        <v>6</v>
      </c>
      <c r="M1250" s="9"/>
    </row>
    <row r="1251" s="1" customFormat="1" ht="20.1" customHeight="1" spans="1:13">
      <c r="A1251" s="4" t="str">
        <f>"37502022030120451824501"</f>
        <v>37502022030120451824501</v>
      </c>
      <c r="B1251" s="4" t="s">
        <v>1234</v>
      </c>
      <c r="C1251" s="4" t="s">
        <v>1240</v>
      </c>
      <c r="D1251" s="4" t="str">
        <f>"20220254216"</f>
        <v>20220254216</v>
      </c>
      <c r="E1251" s="4" t="str">
        <f t="shared" si="241"/>
        <v>42</v>
      </c>
      <c r="F1251" s="4" t="str">
        <f>"16"</f>
        <v>16</v>
      </c>
      <c r="G1251" s="5">
        <v>70.98</v>
      </c>
      <c r="H1251" s="5" t="s">
        <v>14</v>
      </c>
      <c r="I1251" s="5">
        <v>78.4</v>
      </c>
      <c r="J1251" s="5" t="s">
        <v>14</v>
      </c>
      <c r="K1251" s="7">
        <v>76.17</v>
      </c>
      <c r="L1251" s="8">
        <v>7</v>
      </c>
      <c r="M1251" s="9"/>
    </row>
    <row r="1252" s="1" customFormat="1" ht="20.1" customHeight="1" spans="1:13">
      <c r="A1252" s="4" t="str">
        <f>"37502022030119132424320"</f>
        <v>37502022030119132424320</v>
      </c>
      <c r="B1252" s="4" t="s">
        <v>1234</v>
      </c>
      <c r="C1252" s="4" t="s">
        <v>1241</v>
      </c>
      <c r="D1252" s="4" t="str">
        <f>"20220254217"</f>
        <v>20220254217</v>
      </c>
      <c r="E1252" s="4" t="str">
        <f t="shared" si="241"/>
        <v>42</v>
      </c>
      <c r="F1252" s="4" t="str">
        <f>"17"</f>
        <v>17</v>
      </c>
      <c r="G1252" s="5">
        <v>77.94</v>
      </c>
      <c r="H1252" s="5" t="s">
        <v>14</v>
      </c>
      <c r="I1252" s="5">
        <v>75</v>
      </c>
      <c r="J1252" s="5" t="s">
        <v>14</v>
      </c>
      <c r="K1252" s="7">
        <v>75.88</v>
      </c>
      <c r="L1252" s="8">
        <v>8</v>
      </c>
      <c r="M1252" s="9"/>
    </row>
    <row r="1253" s="1" customFormat="1" ht="20.1" customHeight="1" spans="1:13">
      <c r="A1253" s="4" t="str">
        <f>"37502022030109282123242"</f>
        <v>37502022030109282123242</v>
      </c>
      <c r="B1253" s="4" t="s">
        <v>1234</v>
      </c>
      <c r="C1253" s="4" t="s">
        <v>1242</v>
      </c>
      <c r="D1253" s="4" t="str">
        <f>"20220254309"</f>
        <v>20220254309</v>
      </c>
      <c r="E1253" s="4" t="str">
        <f t="shared" ref="E1253:E1262" si="242">"43"</f>
        <v>43</v>
      </c>
      <c r="F1253" s="4" t="str">
        <f>"09"</f>
        <v>09</v>
      </c>
      <c r="G1253" s="5">
        <v>73.84</v>
      </c>
      <c r="H1253" s="5" t="s">
        <v>14</v>
      </c>
      <c r="I1253" s="5">
        <v>76.6</v>
      </c>
      <c r="J1253" s="5" t="s">
        <v>14</v>
      </c>
      <c r="K1253" s="7">
        <v>75.77</v>
      </c>
      <c r="L1253" s="8">
        <v>9</v>
      </c>
      <c r="M1253" s="9"/>
    </row>
    <row r="1254" s="1" customFormat="1" ht="20.1" customHeight="1" spans="1:13">
      <c r="A1254" s="4" t="str">
        <f>"37502022030121393924606"</f>
        <v>37502022030121393924606</v>
      </c>
      <c r="B1254" s="4" t="s">
        <v>1234</v>
      </c>
      <c r="C1254" s="4" t="s">
        <v>1243</v>
      </c>
      <c r="D1254" s="4" t="str">
        <f>"20220254223"</f>
        <v>20220254223</v>
      </c>
      <c r="E1254" s="4" t="str">
        <f t="shared" ref="E1254:E1257" si="243">"42"</f>
        <v>42</v>
      </c>
      <c r="F1254" s="4" t="str">
        <f>"23"</f>
        <v>23</v>
      </c>
      <c r="G1254" s="5">
        <v>82.91</v>
      </c>
      <c r="H1254" s="5" t="s">
        <v>14</v>
      </c>
      <c r="I1254" s="5">
        <v>72.2</v>
      </c>
      <c r="J1254" s="5" t="s">
        <v>14</v>
      </c>
      <c r="K1254" s="7">
        <v>75.41</v>
      </c>
      <c r="L1254" s="8">
        <v>10</v>
      </c>
      <c r="M1254" s="9"/>
    </row>
    <row r="1255" s="1" customFormat="1" ht="20.1" customHeight="1" spans="1:13">
      <c r="A1255" s="4" t="str">
        <f>"37502022030120183524439"</f>
        <v>37502022030120183524439</v>
      </c>
      <c r="B1255" s="4" t="s">
        <v>1234</v>
      </c>
      <c r="C1255" s="4" t="s">
        <v>1244</v>
      </c>
      <c r="D1255" s="4" t="str">
        <f>"20220254230"</f>
        <v>20220254230</v>
      </c>
      <c r="E1255" s="4" t="str">
        <f t="shared" si="243"/>
        <v>42</v>
      </c>
      <c r="F1255" s="4" t="str">
        <f>"30"</f>
        <v>30</v>
      </c>
      <c r="G1255" s="5">
        <v>73.83</v>
      </c>
      <c r="H1255" s="5" t="s">
        <v>14</v>
      </c>
      <c r="I1255" s="5">
        <v>75.7</v>
      </c>
      <c r="J1255" s="5" t="s">
        <v>14</v>
      </c>
      <c r="K1255" s="7">
        <v>75.14</v>
      </c>
      <c r="L1255" s="8">
        <v>11</v>
      </c>
      <c r="M1255" s="9"/>
    </row>
    <row r="1256" s="1" customFormat="1" ht="20.1" customHeight="1" spans="1:13">
      <c r="A1256" s="4" t="str">
        <f>"37502022022610084818835"</f>
        <v>37502022022610084818835</v>
      </c>
      <c r="B1256" s="4" t="s">
        <v>1234</v>
      </c>
      <c r="C1256" s="4" t="s">
        <v>1245</v>
      </c>
      <c r="D1256" s="4" t="str">
        <f>"20220254308"</f>
        <v>20220254308</v>
      </c>
      <c r="E1256" s="4" t="str">
        <f t="shared" si="242"/>
        <v>43</v>
      </c>
      <c r="F1256" s="4" t="str">
        <f>"08"</f>
        <v>08</v>
      </c>
      <c r="G1256" s="5">
        <v>73.45</v>
      </c>
      <c r="H1256" s="5" t="s">
        <v>14</v>
      </c>
      <c r="I1256" s="5">
        <v>75</v>
      </c>
      <c r="J1256" s="5" t="s">
        <v>14</v>
      </c>
      <c r="K1256" s="7">
        <v>74.54</v>
      </c>
      <c r="L1256" s="8">
        <v>12</v>
      </c>
      <c r="M1256" s="9"/>
    </row>
    <row r="1257" s="1" customFormat="1" ht="20.1" customHeight="1" spans="1:13">
      <c r="A1257" s="4" t="str">
        <f>"37502022030200382424767"</f>
        <v>37502022030200382424767</v>
      </c>
      <c r="B1257" s="4" t="s">
        <v>1234</v>
      </c>
      <c r="C1257" s="4" t="s">
        <v>1246</v>
      </c>
      <c r="D1257" s="4" t="str">
        <f>"20220254229"</f>
        <v>20220254229</v>
      </c>
      <c r="E1257" s="4" t="str">
        <f t="shared" si="243"/>
        <v>42</v>
      </c>
      <c r="F1257" s="4" t="str">
        <f>"29"</f>
        <v>29</v>
      </c>
      <c r="G1257" s="5">
        <v>79.96</v>
      </c>
      <c r="H1257" s="5" t="s">
        <v>14</v>
      </c>
      <c r="I1257" s="5">
        <v>71.3</v>
      </c>
      <c r="J1257" s="5" t="s">
        <v>14</v>
      </c>
      <c r="K1257" s="7">
        <v>73.9</v>
      </c>
      <c r="L1257" s="8">
        <v>13</v>
      </c>
      <c r="M1257" s="9"/>
    </row>
    <row r="1258" s="1" customFormat="1" ht="20.1" customHeight="1" spans="1:13">
      <c r="A1258" s="4" t="str">
        <f>"37502022022812390821963"</f>
        <v>37502022022812390821963</v>
      </c>
      <c r="B1258" s="4" t="s">
        <v>1234</v>
      </c>
      <c r="C1258" s="4" t="s">
        <v>1247</v>
      </c>
      <c r="D1258" s="4" t="str">
        <f>"20220254302"</f>
        <v>20220254302</v>
      </c>
      <c r="E1258" s="4" t="str">
        <f t="shared" si="242"/>
        <v>43</v>
      </c>
      <c r="F1258" s="4" t="str">
        <f>"02"</f>
        <v>02</v>
      </c>
      <c r="G1258" s="5">
        <v>76.85</v>
      </c>
      <c r="H1258" s="5" t="s">
        <v>14</v>
      </c>
      <c r="I1258" s="5">
        <v>71.9</v>
      </c>
      <c r="J1258" s="5" t="s">
        <v>14</v>
      </c>
      <c r="K1258" s="7">
        <v>73.39</v>
      </c>
      <c r="L1258" s="8">
        <v>14</v>
      </c>
      <c r="M1258" s="9"/>
    </row>
    <row r="1259" s="1" customFormat="1" ht="20.1" customHeight="1" spans="1:13">
      <c r="A1259" s="4" t="str">
        <f>"37502022022722381421094"</f>
        <v>37502022022722381421094</v>
      </c>
      <c r="B1259" s="4" t="s">
        <v>1234</v>
      </c>
      <c r="C1259" s="4" t="s">
        <v>1248</v>
      </c>
      <c r="D1259" s="4" t="str">
        <f>"20220254319"</f>
        <v>20220254319</v>
      </c>
      <c r="E1259" s="4" t="str">
        <f t="shared" si="242"/>
        <v>43</v>
      </c>
      <c r="F1259" s="4" t="str">
        <f>"19"</f>
        <v>19</v>
      </c>
      <c r="G1259" s="5">
        <v>74.81</v>
      </c>
      <c r="H1259" s="5" t="s">
        <v>14</v>
      </c>
      <c r="I1259" s="5">
        <v>72.7</v>
      </c>
      <c r="J1259" s="5" t="s">
        <v>14</v>
      </c>
      <c r="K1259" s="7">
        <v>73.33</v>
      </c>
      <c r="L1259" s="8">
        <v>15</v>
      </c>
      <c r="M1259" s="9"/>
    </row>
    <row r="1260" s="1" customFormat="1" ht="20.1" customHeight="1" spans="1:13">
      <c r="A1260" s="4" t="str">
        <f>"37502022030113315323758"</f>
        <v>37502022030113315323758</v>
      </c>
      <c r="B1260" s="4" t="s">
        <v>1234</v>
      </c>
      <c r="C1260" s="4" t="s">
        <v>1249</v>
      </c>
      <c r="D1260" s="4" t="str">
        <f>"20220254316"</f>
        <v>20220254316</v>
      </c>
      <c r="E1260" s="4" t="str">
        <f t="shared" si="242"/>
        <v>43</v>
      </c>
      <c r="F1260" s="4" t="str">
        <f>"16"</f>
        <v>16</v>
      </c>
      <c r="G1260" s="5">
        <v>72.86</v>
      </c>
      <c r="H1260" s="5" t="s">
        <v>14</v>
      </c>
      <c r="I1260" s="5">
        <v>73.2</v>
      </c>
      <c r="J1260" s="5" t="s">
        <v>14</v>
      </c>
      <c r="K1260" s="7">
        <v>73.1</v>
      </c>
      <c r="L1260" s="8">
        <v>16</v>
      </c>
      <c r="M1260" s="9"/>
    </row>
    <row r="1261" s="1" customFormat="1" ht="20.1" customHeight="1" spans="1:13">
      <c r="A1261" s="4" t="str">
        <f>"37502022022610430518948"</f>
        <v>37502022022610430518948</v>
      </c>
      <c r="B1261" s="4" t="s">
        <v>1234</v>
      </c>
      <c r="C1261" s="4" t="s">
        <v>1250</v>
      </c>
      <c r="D1261" s="4" t="str">
        <f>"20220254304"</f>
        <v>20220254304</v>
      </c>
      <c r="E1261" s="4" t="str">
        <f t="shared" si="242"/>
        <v>43</v>
      </c>
      <c r="F1261" s="4" t="str">
        <f>"04"</f>
        <v>04</v>
      </c>
      <c r="G1261" s="5">
        <v>68.95</v>
      </c>
      <c r="H1261" s="5" t="s">
        <v>14</v>
      </c>
      <c r="I1261" s="5">
        <v>74</v>
      </c>
      <c r="J1261" s="5" t="s">
        <v>14</v>
      </c>
      <c r="K1261" s="7">
        <v>72.49</v>
      </c>
      <c r="L1261" s="8">
        <v>17</v>
      </c>
      <c r="M1261" s="9"/>
    </row>
    <row r="1262" s="1" customFormat="1" ht="20.1" customHeight="1" spans="1:13">
      <c r="A1262" s="4" t="str">
        <f>"37502022022813571022178"</f>
        <v>37502022022813571022178</v>
      </c>
      <c r="B1262" s="4" t="s">
        <v>1234</v>
      </c>
      <c r="C1262" s="4" t="s">
        <v>1251</v>
      </c>
      <c r="D1262" s="4" t="str">
        <f>"20220254312"</f>
        <v>20220254312</v>
      </c>
      <c r="E1262" s="4" t="str">
        <f t="shared" si="242"/>
        <v>43</v>
      </c>
      <c r="F1262" s="4" t="str">
        <f>"12"</f>
        <v>12</v>
      </c>
      <c r="G1262" s="5">
        <v>73.98</v>
      </c>
      <c r="H1262" s="5" t="s">
        <v>14</v>
      </c>
      <c r="I1262" s="5">
        <v>71.6</v>
      </c>
      <c r="J1262" s="5" t="s">
        <v>14</v>
      </c>
      <c r="K1262" s="7">
        <v>72.31</v>
      </c>
      <c r="L1262" s="8">
        <v>18</v>
      </c>
      <c r="M1262" s="9"/>
    </row>
    <row r="1263" s="1" customFormat="1" ht="20.1" customHeight="1" spans="1:13">
      <c r="A1263" s="4" t="str">
        <f>"37502022022809354521478"</f>
        <v>37502022022809354521478</v>
      </c>
      <c r="B1263" s="4" t="s">
        <v>1234</v>
      </c>
      <c r="C1263" s="4" t="s">
        <v>1252</v>
      </c>
      <c r="D1263" s="4" t="str">
        <f>"20220254228"</f>
        <v>20220254228</v>
      </c>
      <c r="E1263" s="4" t="str">
        <f>"42"</f>
        <v>42</v>
      </c>
      <c r="F1263" s="4" t="str">
        <f>"28"</f>
        <v>28</v>
      </c>
      <c r="G1263" s="5">
        <v>72.23</v>
      </c>
      <c r="H1263" s="5" t="s">
        <v>14</v>
      </c>
      <c r="I1263" s="5">
        <v>70.9</v>
      </c>
      <c r="J1263" s="5" t="s">
        <v>14</v>
      </c>
      <c r="K1263" s="7">
        <v>71.3</v>
      </c>
      <c r="L1263" s="8">
        <v>19</v>
      </c>
      <c r="M1263" s="9"/>
    </row>
    <row r="1264" s="1" customFormat="1" ht="20.1" customHeight="1" spans="1:13">
      <c r="A1264" s="4" t="str">
        <f>"37502022022617295119451"</f>
        <v>37502022022617295119451</v>
      </c>
      <c r="B1264" s="4" t="s">
        <v>1234</v>
      </c>
      <c r="C1264" s="4" t="s">
        <v>1253</v>
      </c>
      <c r="D1264" s="4" t="str">
        <f>"20220254221"</f>
        <v>20220254221</v>
      </c>
      <c r="E1264" s="4" t="str">
        <f>"42"</f>
        <v>42</v>
      </c>
      <c r="F1264" s="4" t="str">
        <f>"21"</f>
        <v>21</v>
      </c>
      <c r="G1264" s="5">
        <v>69.55</v>
      </c>
      <c r="H1264" s="5" t="s">
        <v>14</v>
      </c>
      <c r="I1264" s="5">
        <v>70.2</v>
      </c>
      <c r="J1264" s="5" t="s">
        <v>14</v>
      </c>
      <c r="K1264" s="7">
        <v>70.01</v>
      </c>
      <c r="L1264" s="8">
        <v>20</v>
      </c>
      <c r="M1264" s="9"/>
    </row>
    <row r="1265" s="1" customFormat="1" ht="20.1" customHeight="1" spans="1:13">
      <c r="A1265" s="4" t="str">
        <f>"37502022022821551823035"</f>
        <v>37502022022821551823035</v>
      </c>
      <c r="B1265" s="4" t="s">
        <v>1234</v>
      </c>
      <c r="C1265" s="4" t="s">
        <v>1254</v>
      </c>
      <c r="D1265" s="4" t="str">
        <f>"20220254318"</f>
        <v>20220254318</v>
      </c>
      <c r="E1265" s="4" t="str">
        <f t="shared" ref="E1265:E1270" si="244">"43"</f>
        <v>43</v>
      </c>
      <c r="F1265" s="4" t="str">
        <f>"18"</f>
        <v>18</v>
      </c>
      <c r="G1265" s="5">
        <v>67.82</v>
      </c>
      <c r="H1265" s="5" t="s">
        <v>14</v>
      </c>
      <c r="I1265" s="5">
        <v>69.8</v>
      </c>
      <c r="J1265" s="5" t="s">
        <v>14</v>
      </c>
      <c r="K1265" s="7">
        <v>69.21</v>
      </c>
      <c r="L1265" s="8">
        <v>21</v>
      </c>
      <c r="M1265" s="9"/>
    </row>
    <row r="1266" s="1" customFormat="1" ht="20.1" customHeight="1" spans="1:13">
      <c r="A1266" s="4" t="str">
        <f>"37502022030122141524665"</f>
        <v>37502022030122141524665</v>
      </c>
      <c r="B1266" s="4" t="s">
        <v>1234</v>
      </c>
      <c r="C1266" s="4" t="s">
        <v>17</v>
      </c>
      <c r="D1266" s="4" t="str">
        <f>"20220254301"</f>
        <v>20220254301</v>
      </c>
      <c r="E1266" s="4" t="str">
        <f t="shared" si="244"/>
        <v>43</v>
      </c>
      <c r="F1266" s="4" t="str">
        <f>"01"</f>
        <v>01</v>
      </c>
      <c r="G1266" s="5">
        <v>68.79</v>
      </c>
      <c r="H1266" s="5" t="s">
        <v>14</v>
      </c>
      <c r="I1266" s="5">
        <v>68.1</v>
      </c>
      <c r="J1266" s="5" t="s">
        <v>14</v>
      </c>
      <c r="K1266" s="7">
        <v>68.31</v>
      </c>
      <c r="L1266" s="8">
        <v>22</v>
      </c>
      <c r="M1266" s="9"/>
    </row>
    <row r="1267" s="1" customFormat="1" ht="20.1" customHeight="1" spans="1:13">
      <c r="A1267" s="4" t="str">
        <f>"37502022030121141024559"</f>
        <v>37502022030121141024559</v>
      </c>
      <c r="B1267" s="4" t="s">
        <v>1234</v>
      </c>
      <c r="C1267" s="4" t="s">
        <v>1255</v>
      </c>
      <c r="D1267" s="4" t="str">
        <f>"20220254313"</f>
        <v>20220254313</v>
      </c>
      <c r="E1267" s="4" t="str">
        <f t="shared" si="244"/>
        <v>43</v>
      </c>
      <c r="F1267" s="4" t="str">
        <f>"13"</f>
        <v>13</v>
      </c>
      <c r="G1267" s="5">
        <v>64.96</v>
      </c>
      <c r="H1267" s="5" t="s">
        <v>14</v>
      </c>
      <c r="I1267" s="5">
        <v>69.2</v>
      </c>
      <c r="J1267" s="5" t="s">
        <v>14</v>
      </c>
      <c r="K1267" s="7">
        <v>67.93</v>
      </c>
      <c r="L1267" s="8">
        <v>23</v>
      </c>
      <c r="M1267" s="9"/>
    </row>
    <row r="1268" s="1" customFormat="1" ht="20.1" customHeight="1" spans="1:13">
      <c r="A1268" s="4" t="str">
        <f>"37502022030209384624938"</f>
        <v>37502022030209384624938</v>
      </c>
      <c r="B1268" s="4" t="s">
        <v>1234</v>
      </c>
      <c r="C1268" s="4" t="s">
        <v>46</v>
      </c>
      <c r="D1268" s="4" t="str">
        <f>"20220254317"</f>
        <v>20220254317</v>
      </c>
      <c r="E1268" s="4" t="str">
        <f t="shared" si="244"/>
        <v>43</v>
      </c>
      <c r="F1268" s="4" t="str">
        <f>"17"</f>
        <v>17</v>
      </c>
      <c r="G1268" s="5">
        <v>66.24</v>
      </c>
      <c r="H1268" s="5" t="s">
        <v>14</v>
      </c>
      <c r="I1268" s="5">
        <v>66.6</v>
      </c>
      <c r="J1268" s="5" t="s">
        <v>14</v>
      </c>
      <c r="K1268" s="7">
        <v>66.49</v>
      </c>
      <c r="L1268" s="8">
        <v>24</v>
      </c>
      <c r="M1268" s="9"/>
    </row>
    <row r="1269" s="1" customFormat="1" ht="20.1" customHeight="1" spans="1:13">
      <c r="A1269" s="4" t="str">
        <f>"37502022022611551619046"</f>
        <v>37502022022611551619046</v>
      </c>
      <c r="B1269" s="4" t="s">
        <v>1234</v>
      </c>
      <c r="C1269" s="4" t="s">
        <v>1256</v>
      </c>
      <c r="D1269" s="4" t="str">
        <f>"20220254311"</f>
        <v>20220254311</v>
      </c>
      <c r="E1269" s="4" t="str">
        <f t="shared" si="244"/>
        <v>43</v>
      </c>
      <c r="F1269" s="4" t="str">
        <f>"11"</f>
        <v>11</v>
      </c>
      <c r="G1269" s="5">
        <v>66.55</v>
      </c>
      <c r="H1269" s="5" t="s">
        <v>14</v>
      </c>
      <c r="I1269" s="5">
        <v>64.7</v>
      </c>
      <c r="J1269" s="5" t="s">
        <v>14</v>
      </c>
      <c r="K1269" s="7">
        <v>65.26</v>
      </c>
      <c r="L1269" s="8">
        <v>25</v>
      </c>
      <c r="M1269" s="9"/>
    </row>
    <row r="1270" s="1" customFormat="1" ht="20.1" customHeight="1" spans="1:13">
      <c r="A1270" s="4" t="str">
        <f>"37502022022708003919864"</f>
        <v>37502022022708003919864</v>
      </c>
      <c r="B1270" s="4" t="s">
        <v>1234</v>
      </c>
      <c r="C1270" s="4" t="s">
        <v>1017</v>
      </c>
      <c r="D1270" s="4" t="str">
        <f>"20220254307"</f>
        <v>20220254307</v>
      </c>
      <c r="E1270" s="4" t="str">
        <f t="shared" si="244"/>
        <v>43</v>
      </c>
      <c r="F1270" s="4" t="str">
        <f>"07"</f>
        <v>07</v>
      </c>
      <c r="G1270" s="5">
        <v>66.62</v>
      </c>
      <c r="H1270" s="5" t="s">
        <v>14</v>
      </c>
      <c r="I1270" s="5">
        <v>64.1</v>
      </c>
      <c r="J1270" s="5" t="s">
        <v>14</v>
      </c>
      <c r="K1270" s="7">
        <v>64.86</v>
      </c>
      <c r="L1270" s="8">
        <v>26</v>
      </c>
      <c r="M1270" s="9"/>
    </row>
    <row r="1271" s="1" customFormat="1" ht="20.1" customHeight="1" spans="1:13">
      <c r="A1271" s="4" t="str">
        <f>"37502022022812040721875"</f>
        <v>37502022022812040721875</v>
      </c>
      <c r="B1271" s="4" t="s">
        <v>1234</v>
      </c>
      <c r="C1271" s="4" t="s">
        <v>1257</v>
      </c>
      <c r="D1271" s="4" t="str">
        <f>"20220254222"</f>
        <v>20220254222</v>
      </c>
      <c r="E1271" s="4" t="str">
        <f t="shared" ref="E1271:E1278" si="245">"42"</f>
        <v>42</v>
      </c>
      <c r="F1271" s="4" t="str">
        <f>"22"</f>
        <v>22</v>
      </c>
      <c r="G1271" s="5">
        <v>66.09</v>
      </c>
      <c r="H1271" s="5" t="s">
        <v>14</v>
      </c>
      <c r="I1271" s="5">
        <v>62.9</v>
      </c>
      <c r="J1271" s="5" t="s">
        <v>14</v>
      </c>
      <c r="K1271" s="7">
        <v>63.86</v>
      </c>
      <c r="L1271" s="8">
        <v>27</v>
      </c>
      <c r="M1271" s="9"/>
    </row>
    <row r="1272" s="1" customFormat="1" ht="20.1" customHeight="1" spans="1:13">
      <c r="A1272" s="4" t="str">
        <f>"37502022030213542925338"</f>
        <v>37502022030213542925338</v>
      </c>
      <c r="B1272" s="4" t="s">
        <v>1234</v>
      </c>
      <c r="C1272" s="4" t="s">
        <v>1258</v>
      </c>
      <c r="D1272" s="4" t="str">
        <f>"20220254320"</f>
        <v>20220254320</v>
      </c>
      <c r="E1272" s="4" t="str">
        <f t="shared" ref="E1272:E1274" si="246">"43"</f>
        <v>43</v>
      </c>
      <c r="F1272" s="4" t="str">
        <f>"20"</f>
        <v>20</v>
      </c>
      <c r="G1272" s="5">
        <v>61.42</v>
      </c>
      <c r="H1272" s="5" t="s">
        <v>14</v>
      </c>
      <c r="I1272" s="5">
        <v>63.5</v>
      </c>
      <c r="J1272" s="5" t="s">
        <v>14</v>
      </c>
      <c r="K1272" s="7">
        <v>62.88</v>
      </c>
      <c r="L1272" s="8">
        <v>28</v>
      </c>
      <c r="M1272" s="9"/>
    </row>
    <row r="1273" s="1" customFormat="1" ht="20.1" customHeight="1" spans="1:13">
      <c r="A1273" s="4" t="str">
        <f>"37502022030208590424867"</f>
        <v>37502022030208590424867</v>
      </c>
      <c r="B1273" s="4" t="s">
        <v>1234</v>
      </c>
      <c r="C1273" s="4" t="s">
        <v>1259</v>
      </c>
      <c r="D1273" s="4" t="str">
        <f>"20220254306"</f>
        <v>20220254306</v>
      </c>
      <c r="E1273" s="4" t="str">
        <f t="shared" si="246"/>
        <v>43</v>
      </c>
      <c r="F1273" s="4" t="str">
        <f>"06"</f>
        <v>06</v>
      </c>
      <c r="G1273" s="5">
        <v>59.94</v>
      </c>
      <c r="H1273" s="5" t="s">
        <v>14</v>
      </c>
      <c r="I1273" s="5">
        <v>62.8</v>
      </c>
      <c r="J1273" s="5" t="s">
        <v>14</v>
      </c>
      <c r="K1273" s="7">
        <v>61.94</v>
      </c>
      <c r="L1273" s="8">
        <v>29</v>
      </c>
      <c r="M1273" s="9"/>
    </row>
    <row r="1274" s="1" customFormat="1" ht="20.1" customHeight="1" spans="1:13">
      <c r="A1274" s="4" t="str">
        <f>"37502022030221162926000"</f>
        <v>37502022030221162926000</v>
      </c>
      <c r="B1274" s="4" t="s">
        <v>1234</v>
      </c>
      <c r="C1274" s="4" t="s">
        <v>1260</v>
      </c>
      <c r="D1274" s="4" t="str">
        <f>"20220254310"</f>
        <v>20220254310</v>
      </c>
      <c r="E1274" s="4" t="str">
        <f t="shared" si="246"/>
        <v>43</v>
      </c>
      <c r="F1274" s="4" t="str">
        <f>"10"</f>
        <v>10</v>
      </c>
      <c r="G1274" s="5">
        <v>60</v>
      </c>
      <c r="H1274" s="5" t="s">
        <v>14</v>
      </c>
      <c r="I1274" s="5">
        <v>62.7</v>
      </c>
      <c r="J1274" s="5" t="s">
        <v>14</v>
      </c>
      <c r="K1274" s="7">
        <v>61.89</v>
      </c>
      <c r="L1274" s="8">
        <v>30</v>
      </c>
      <c r="M1274" s="9"/>
    </row>
    <row r="1275" s="1" customFormat="1" ht="20.1" customHeight="1" spans="1:13">
      <c r="A1275" s="4" t="str">
        <f>"37502022022609165318697"</f>
        <v>37502022022609165318697</v>
      </c>
      <c r="B1275" s="4" t="s">
        <v>1234</v>
      </c>
      <c r="C1275" s="4" t="s">
        <v>1261</v>
      </c>
      <c r="D1275" s="4" t="str">
        <f>"20220254226"</f>
        <v>20220254226</v>
      </c>
      <c r="E1275" s="4" t="str">
        <f t="shared" si="245"/>
        <v>42</v>
      </c>
      <c r="F1275" s="4" t="str">
        <f>"26"</f>
        <v>26</v>
      </c>
      <c r="G1275" s="5">
        <v>0</v>
      </c>
      <c r="H1275" s="5" t="s">
        <v>74</v>
      </c>
      <c r="I1275" s="5">
        <v>0</v>
      </c>
      <c r="J1275" s="5" t="s">
        <v>74</v>
      </c>
      <c r="K1275" s="7">
        <v>0</v>
      </c>
      <c r="L1275" s="8">
        <v>31</v>
      </c>
      <c r="M1275" s="9"/>
    </row>
    <row r="1276" s="1" customFormat="1" ht="20.1" customHeight="1" spans="1:13">
      <c r="A1276" s="4" t="str">
        <f>"37502022022609555518807"</f>
        <v>37502022022609555518807</v>
      </c>
      <c r="B1276" s="4" t="s">
        <v>1234</v>
      </c>
      <c r="C1276" s="4" t="s">
        <v>1262</v>
      </c>
      <c r="D1276" s="4" t="str">
        <f>"20220254213"</f>
        <v>20220254213</v>
      </c>
      <c r="E1276" s="4" t="str">
        <f t="shared" si="245"/>
        <v>42</v>
      </c>
      <c r="F1276" s="4" t="str">
        <f>"13"</f>
        <v>13</v>
      </c>
      <c r="G1276" s="5">
        <v>0</v>
      </c>
      <c r="H1276" s="5" t="s">
        <v>74</v>
      </c>
      <c r="I1276" s="5">
        <v>0</v>
      </c>
      <c r="J1276" s="5" t="s">
        <v>74</v>
      </c>
      <c r="K1276" s="7">
        <v>0</v>
      </c>
      <c r="L1276" s="8">
        <v>31</v>
      </c>
      <c r="M1276" s="9"/>
    </row>
    <row r="1277" s="1" customFormat="1" ht="20.1" customHeight="1" spans="1:13">
      <c r="A1277" s="4" t="str">
        <f>"37502022022717151820511"</f>
        <v>37502022022717151820511</v>
      </c>
      <c r="B1277" s="4" t="s">
        <v>1234</v>
      </c>
      <c r="C1277" s="4" t="s">
        <v>1263</v>
      </c>
      <c r="D1277" s="4" t="str">
        <f>"20220254227"</f>
        <v>20220254227</v>
      </c>
      <c r="E1277" s="4" t="str">
        <f t="shared" si="245"/>
        <v>42</v>
      </c>
      <c r="F1277" s="4" t="str">
        <f>"27"</f>
        <v>27</v>
      </c>
      <c r="G1277" s="5">
        <v>0</v>
      </c>
      <c r="H1277" s="5" t="s">
        <v>74</v>
      </c>
      <c r="I1277" s="5">
        <v>0</v>
      </c>
      <c r="J1277" s="5" t="s">
        <v>74</v>
      </c>
      <c r="K1277" s="7">
        <v>0</v>
      </c>
      <c r="L1277" s="8">
        <v>31</v>
      </c>
      <c r="M1277" s="9"/>
    </row>
    <row r="1278" s="1" customFormat="1" ht="20.1" customHeight="1" spans="1:13">
      <c r="A1278" s="4" t="str">
        <f>"37502022022722414421102"</f>
        <v>37502022022722414421102</v>
      </c>
      <c r="B1278" s="4" t="s">
        <v>1234</v>
      </c>
      <c r="C1278" s="4" t="s">
        <v>1264</v>
      </c>
      <c r="D1278" s="4" t="str">
        <f>"20220254220"</f>
        <v>20220254220</v>
      </c>
      <c r="E1278" s="4" t="str">
        <f t="shared" si="245"/>
        <v>42</v>
      </c>
      <c r="F1278" s="4" t="str">
        <f>"20"</f>
        <v>20</v>
      </c>
      <c r="G1278" s="5">
        <v>0</v>
      </c>
      <c r="H1278" s="5" t="s">
        <v>74</v>
      </c>
      <c r="I1278" s="5">
        <v>0</v>
      </c>
      <c r="J1278" s="5" t="s">
        <v>74</v>
      </c>
      <c r="K1278" s="7">
        <v>0</v>
      </c>
      <c r="L1278" s="8">
        <v>31</v>
      </c>
      <c r="M1278" s="9"/>
    </row>
    <row r="1279" s="1" customFormat="1" ht="20.1" customHeight="1" spans="1:13">
      <c r="A1279" s="4" t="str">
        <f>"37502022022809551621528"</f>
        <v>37502022022809551621528</v>
      </c>
      <c r="B1279" s="4" t="s">
        <v>1234</v>
      </c>
      <c r="C1279" s="4" t="s">
        <v>1265</v>
      </c>
      <c r="D1279" s="4" t="str">
        <f>"20220254321"</f>
        <v>20220254321</v>
      </c>
      <c r="E1279" s="4" t="str">
        <f>"43"</f>
        <v>43</v>
      </c>
      <c r="F1279" s="4" t="str">
        <f>"21"</f>
        <v>21</v>
      </c>
      <c r="G1279" s="5">
        <v>0</v>
      </c>
      <c r="H1279" s="5" t="s">
        <v>74</v>
      </c>
      <c r="I1279" s="5">
        <v>0</v>
      </c>
      <c r="J1279" s="5" t="s">
        <v>74</v>
      </c>
      <c r="K1279" s="7">
        <v>0</v>
      </c>
      <c r="L1279" s="8">
        <v>31</v>
      </c>
      <c r="M1279" s="9"/>
    </row>
    <row r="1280" s="1" customFormat="1" ht="20.1" customHeight="1" spans="1:13">
      <c r="A1280" s="4" t="str">
        <f>"37502022022814444122326"</f>
        <v>37502022022814444122326</v>
      </c>
      <c r="B1280" s="4" t="s">
        <v>1234</v>
      </c>
      <c r="C1280" s="4" t="s">
        <v>1266</v>
      </c>
      <c r="D1280" s="4" t="str">
        <f>"20220254224"</f>
        <v>20220254224</v>
      </c>
      <c r="E1280" s="4" t="str">
        <f t="shared" ref="E1280:E1283" si="247">"42"</f>
        <v>42</v>
      </c>
      <c r="F1280" s="4" t="str">
        <f>"24"</f>
        <v>24</v>
      </c>
      <c r="G1280" s="5">
        <v>0</v>
      </c>
      <c r="H1280" s="5" t="s">
        <v>74</v>
      </c>
      <c r="I1280" s="5">
        <v>0</v>
      </c>
      <c r="J1280" s="5" t="s">
        <v>74</v>
      </c>
      <c r="K1280" s="7">
        <v>0</v>
      </c>
      <c r="L1280" s="8">
        <v>31</v>
      </c>
      <c r="M1280" s="9"/>
    </row>
    <row r="1281" s="1" customFormat="1" ht="20.1" customHeight="1" spans="1:13">
      <c r="A1281" s="4" t="str">
        <f>"37502022030116191024006"</f>
        <v>37502022030116191024006</v>
      </c>
      <c r="B1281" s="4" t="s">
        <v>1234</v>
      </c>
      <c r="C1281" s="4" t="s">
        <v>1267</v>
      </c>
      <c r="D1281" s="4" t="str">
        <f>"20220254215"</f>
        <v>20220254215</v>
      </c>
      <c r="E1281" s="4" t="str">
        <f t="shared" si="247"/>
        <v>42</v>
      </c>
      <c r="F1281" s="4" t="str">
        <f>"15"</f>
        <v>15</v>
      </c>
      <c r="G1281" s="5">
        <v>0</v>
      </c>
      <c r="H1281" s="5" t="s">
        <v>74</v>
      </c>
      <c r="I1281" s="5">
        <v>0</v>
      </c>
      <c r="J1281" s="5" t="s">
        <v>74</v>
      </c>
      <c r="K1281" s="7">
        <v>0</v>
      </c>
      <c r="L1281" s="8">
        <v>31</v>
      </c>
      <c r="M1281" s="9"/>
    </row>
    <row r="1282" s="1" customFormat="1" ht="20.1" customHeight="1" spans="1:13">
      <c r="A1282" s="4" t="str">
        <f>"37502022030209100524889"</f>
        <v>37502022030209100524889</v>
      </c>
      <c r="B1282" s="4" t="s">
        <v>1234</v>
      </c>
      <c r="C1282" s="4" t="s">
        <v>1268</v>
      </c>
      <c r="D1282" s="4" t="str">
        <f>"20220254219"</f>
        <v>20220254219</v>
      </c>
      <c r="E1282" s="4" t="str">
        <f t="shared" si="247"/>
        <v>42</v>
      </c>
      <c r="F1282" s="4" t="str">
        <f>"19"</f>
        <v>19</v>
      </c>
      <c r="G1282" s="5">
        <v>0</v>
      </c>
      <c r="H1282" s="5" t="s">
        <v>74</v>
      </c>
      <c r="I1282" s="5">
        <v>0</v>
      </c>
      <c r="J1282" s="5" t="s">
        <v>74</v>
      </c>
      <c r="K1282" s="7">
        <v>0</v>
      </c>
      <c r="L1282" s="8">
        <v>31</v>
      </c>
      <c r="M1282" s="9"/>
    </row>
    <row r="1283" s="1" customFormat="1" ht="20.1" customHeight="1" spans="1:13">
      <c r="A1283" s="4" t="str">
        <f>"37502022030219422625830"</f>
        <v>37502022030219422625830</v>
      </c>
      <c r="B1283" s="4" t="s">
        <v>1234</v>
      </c>
      <c r="C1283" s="4" t="s">
        <v>1269</v>
      </c>
      <c r="D1283" s="4" t="str">
        <f>"20220254225"</f>
        <v>20220254225</v>
      </c>
      <c r="E1283" s="4" t="str">
        <f t="shared" si="247"/>
        <v>42</v>
      </c>
      <c r="F1283" s="4" t="str">
        <f>"25"</f>
        <v>25</v>
      </c>
      <c r="G1283" s="5">
        <v>0</v>
      </c>
      <c r="H1283" s="5" t="s">
        <v>74</v>
      </c>
      <c r="I1283" s="5">
        <v>0</v>
      </c>
      <c r="J1283" s="5" t="s">
        <v>74</v>
      </c>
      <c r="K1283" s="7">
        <v>0</v>
      </c>
      <c r="L1283" s="8">
        <v>31</v>
      </c>
      <c r="M1283" s="9"/>
    </row>
    <row r="1284" s="1" customFormat="1" ht="20.1" customHeight="1" spans="1:13">
      <c r="A1284" s="4" t="str">
        <f>"37502022022610171318891"</f>
        <v>37502022022610171318891</v>
      </c>
      <c r="B1284" s="4" t="s">
        <v>1270</v>
      </c>
      <c r="C1284" s="4" t="s">
        <v>1271</v>
      </c>
      <c r="D1284" s="4" t="str">
        <f>"20220264421"</f>
        <v>20220264421</v>
      </c>
      <c r="E1284" s="4" t="str">
        <f t="shared" ref="E1284:E1286" si="248">"44"</f>
        <v>44</v>
      </c>
      <c r="F1284" s="4" t="str">
        <f>"21"</f>
        <v>21</v>
      </c>
      <c r="G1284" s="5">
        <v>81.33</v>
      </c>
      <c r="H1284" s="5" t="s">
        <v>14</v>
      </c>
      <c r="I1284" s="5">
        <v>81.9</v>
      </c>
      <c r="J1284" s="5" t="s">
        <v>14</v>
      </c>
      <c r="K1284" s="7">
        <v>81.73</v>
      </c>
      <c r="L1284" s="8">
        <v>1</v>
      </c>
      <c r="M1284" s="9"/>
    </row>
    <row r="1285" s="1" customFormat="1" ht="20.1" customHeight="1" spans="1:13">
      <c r="A1285" s="4" t="str">
        <f>"37502022030119172724334"</f>
        <v>37502022030119172724334</v>
      </c>
      <c r="B1285" s="4" t="s">
        <v>1270</v>
      </c>
      <c r="C1285" s="4" t="s">
        <v>1272</v>
      </c>
      <c r="D1285" s="4" t="str">
        <f>"20220264423"</f>
        <v>20220264423</v>
      </c>
      <c r="E1285" s="4" t="str">
        <f t="shared" si="248"/>
        <v>44</v>
      </c>
      <c r="F1285" s="4" t="str">
        <f>"23"</f>
        <v>23</v>
      </c>
      <c r="G1285" s="5">
        <v>75.59</v>
      </c>
      <c r="H1285" s="5" t="s">
        <v>14</v>
      </c>
      <c r="I1285" s="5">
        <v>83.2</v>
      </c>
      <c r="J1285" s="5" t="s">
        <v>14</v>
      </c>
      <c r="K1285" s="7">
        <v>80.92</v>
      </c>
      <c r="L1285" s="8">
        <v>2</v>
      </c>
      <c r="M1285" s="9"/>
    </row>
    <row r="1286" s="1" customFormat="1" ht="20.1" customHeight="1" spans="1:13">
      <c r="A1286" s="4" t="str">
        <f>"37502022022610413518945"</f>
        <v>37502022022610413518945</v>
      </c>
      <c r="B1286" s="4" t="s">
        <v>1270</v>
      </c>
      <c r="C1286" s="4" t="s">
        <v>1273</v>
      </c>
      <c r="D1286" s="4" t="str">
        <f>"20220264422"</f>
        <v>20220264422</v>
      </c>
      <c r="E1286" s="4" t="str">
        <f t="shared" si="248"/>
        <v>44</v>
      </c>
      <c r="F1286" s="4" t="str">
        <f>"22"</f>
        <v>22</v>
      </c>
      <c r="G1286" s="5">
        <v>78.06</v>
      </c>
      <c r="H1286" s="5" t="s">
        <v>14</v>
      </c>
      <c r="I1286" s="5">
        <v>81.4</v>
      </c>
      <c r="J1286" s="5" t="s">
        <v>14</v>
      </c>
      <c r="K1286" s="7">
        <v>80.4</v>
      </c>
      <c r="L1286" s="8">
        <v>3</v>
      </c>
      <c r="M1286" s="9"/>
    </row>
    <row r="1287" s="1" customFormat="1" ht="20.1" customHeight="1" spans="1:13">
      <c r="A1287" s="4" t="str">
        <f>"37502022030113131923720"</f>
        <v>37502022030113131923720</v>
      </c>
      <c r="B1287" s="4" t="s">
        <v>1270</v>
      </c>
      <c r="C1287" s="4" t="s">
        <v>1274</v>
      </c>
      <c r="D1287" s="4" t="str">
        <f>"20220264502"</f>
        <v>20220264502</v>
      </c>
      <c r="E1287" s="4" t="str">
        <f t="shared" ref="E1287:E1291" si="249">"45"</f>
        <v>45</v>
      </c>
      <c r="F1287" s="4" t="str">
        <f>"02"</f>
        <v>02</v>
      </c>
      <c r="G1287" s="5">
        <v>74.97</v>
      </c>
      <c r="H1287" s="5" t="s">
        <v>14</v>
      </c>
      <c r="I1287" s="5">
        <v>82.6</v>
      </c>
      <c r="J1287" s="5" t="s">
        <v>14</v>
      </c>
      <c r="K1287" s="7">
        <v>80.31</v>
      </c>
      <c r="L1287" s="8">
        <v>4</v>
      </c>
      <c r="M1287" s="9"/>
    </row>
    <row r="1288" s="1" customFormat="1" ht="20.1" customHeight="1" spans="1:13">
      <c r="A1288" s="4" t="str">
        <f>"37502022030116112923993"</f>
        <v>37502022030116112923993</v>
      </c>
      <c r="B1288" s="4" t="s">
        <v>1270</v>
      </c>
      <c r="C1288" s="4" t="s">
        <v>1275</v>
      </c>
      <c r="D1288" s="4" t="str">
        <f>"20220264501"</f>
        <v>20220264501</v>
      </c>
      <c r="E1288" s="4" t="str">
        <f t="shared" si="249"/>
        <v>45</v>
      </c>
      <c r="F1288" s="4" t="str">
        <f>"01"</f>
        <v>01</v>
      </c>
      <c r="G1288" s="5">
        <v>81.54</v>
      </c>
      <c r="H1288" s="5" t="s">
        <v>14</v>
      </c>
      <c r="I1288" s="5">
        <v>76.2</v>
      </c>
      <c r="J1288" s="5" t="s">
        <v>14</v>
      </c>
      <c r="K1288" s="7">
        <v>77.8</v>
      </c>
      <c r="L1288" s="8">
        <v>5</v>
      </c>
      <c r="M1288" s="9"/>
    </row>
    <row r="1289" s="1" customFormat="1" ht="20.1" customHeight="1" spans="1:13">
      <c r="A1289" s="4" t="str">
        <f>"37502022022610222018908"</f>
        <v>37502022022610222018908</v>
      </c>
      <c r="B1289" s="4" t="s">
        <v>1270</v>
      </c>
      <c r="C1289" s="4" t="s">
        <v>1276</v>
      </c>
      <c r="D1289" s="4" t="str">
        <f>"20220264403"</f>
        <v>20220264403</v>
      </c>
      <c r="E1289" s="4" t="str">
        <f t="shared" ref="E1289:E1293" si="250">"44"</f>
        <v>44</v>
      </c>
      <c r="F1289" s="4" t="str">
        <f>"03"</f>
        <v>03</v>
      </c>
      <c r="G1289" s="5">
        <v>79.83</v>
      </c>
      <c r="H1289" s="5" t="s">
        <v>14</v>
      </c>
      <c r="I1289" s="5">
        <v>76.4</v>
      </c>
      <c r="J1289" s="5" t="s">
        <v>14</v>
      </c>
      <c r="K1289" s="7">
        <v>77.43</v>
      </c>
      <c r="L1289" s="8">
        <v>6</v>
      </c>
      <c r="M1289" s="9"/>
    </row>
    <row r="1290" s="1" customFormat="1" ht="20.1" customHeight="1" spans="1:13">
      <c r="A1290" s="4" t="str">
        <f>"37502022030120394524482"</f>
        <v>37502022030120394524482</v>
      </c>
      <c r="B1290" s="4" t="s">
        <v>1270</v>
      </c>
      <c r="C1290" s="4" t="s">
        <v>1277</v>
      </c>
      <c r="D1290" s="4" t="str">
        <f>"20220264409"</f>
        <v>20220264409</v>
      </c>
      <c r="E1290" s="4" t="str">
        <f t="shared" si="250"/>
        <v>44</v>
      </c>
      <c r="F1290" s="4" t="str">
        <f>"09"</f>
        <v>09</v>
      </c>
      <c r="G1290" s="5">
        <v>76.49</v>
      </c>
      <c r="H1290" s="5" t="s">
        <v>14</v>
      </c>
      <c r="I1290" s="5">
        <v>77.1</v>
      </c>
      <c r="J1290" s="5" t="s">
        <v>14</v>
      </c>
      <c r="K1290" s="7">
        <v>76.92</v>
      </c>
      <c r="L1290" s="8">
        <v>7</v>
      </c>
      <c r="M1290" s="9"/>
    </row>
    <row r="1291" s="1" customFormat="1" ht="20.1" customHeight="1" spans="1:13">
      <c r="A1291" s="4" t="str">
        <f>"37502022030110572823464"</f>
        <v>37502022030110572823464</v>
      </c>
      <c r="B1291" s="4" t="s">
        <v>1270</v>
      </c>
      <c r="C1291" s="4" t="s">
        <v>1278</v>
      </c>
      <c r="D1291" s="4" t="str">
        <f>"20220264503"</f>
        <v>20220264503</v>
      </c>
      <c r="E1291" s="4" t="str">
        <f t="shared" si="249"/>
        <v>45</v>
      </c>
      <c r="F1291" s="4" t="str">
        <f>"03"</f>
        <v>03</v>
      </c>
      <c r="G1291" s="5">
        <v>82.51</v>
      </c>
      <c r="H1291" s="5" t="s">
        <v>14</v>
      </c>
      <c r="I1291" s="5">
        <v>74.5</v>
      </c>
      <c r="J1291" s="5" t="s">
        <v>14</v>
      </c>
      <c r="K1291" s="7">
        <v>76.9</v>
      </c>
      <c r="L1291" s="8">
        <v>8</v>
      </c>
      <c r="M1291" s="9"/>
    </row>
    <row r="1292" s="1" customFormat="1" ht="20.1" customHeight="1" spans="1:13">
      <c r="A1292" s="4" t="str">
        <f>"37502022030110573323465"</f>
        <v>37502022030110573323465</v>
      </c>
      <c r="B1292" s="4" t="s">
        <v>1270</v>
      </c>
      <c r="C1292" s="4" t="s">
        <v>1279</v>
      </c>
      <c r="D1292" s="4" t="str">
        <f>"20220264416"</f>
        <v>20220264416</v>
      </c>
      <c r="E1292" s="4" t="str">
        <f t="shared" si="250"/>
        <v>44</v>
      </c>
      <c r="F1292" s="4" t="str">
        <f>"16"</f>
        <v>16</v>
      </c>
      <c r="G1292" s="5">
        <v>75.67</v>
      </c>
      <c r="H1292" s="5" t="s">
        <v>14</v>
      </c>
      <c r="I1292" s="5">
        <v>77.1</v>
      </c>
      <c r="J1292" s="5" t="s">
        <v>14</v>
      </c>
      <c r="K1292" s="7">
        <v>76.67</v>
      </c>
      <c r="L1292" s="8">
        <v>9</v>
      </c>
      <c r="M1292" s="9"/>
    </row>
    <row r="1293" s="1" customFormat="1" ht="20.1" customHeight="1" spans="1:13">
      <c r="A1293" s="4" t="str">
        <f>"37502022022822100223047"</f>
        <v>37502022022822100223047</v>
      </c>
      <c r="B1293" s="4" t="s">
        <v>1270</v>
      </c>
      <c r="C1293" s="4" t="s">
        <v>1280</v>
      </c>
      <c r="D1293" s="4" t="str">
        <f>"20220264402"</f>
        <v>20220264402</v>
      </c>
      <c r="E1293" s="4" t="str">
        <f t="shared" si="250"/>
        <v>44</v>
      </c>
      <c r="F1293" s="4" t="str">
        <f>"02"</f>
        <v>02</v>
      </c>
      <c r="G1293" s="5">
        <v>65.69</v>
      </c>
      <c r="H1293" s="5" t="s">
        <v>14</v>
      </c>
      <c r="I1293" s="5">
        <v>80.9</v>
      </c>
      <c r="J1293" s="5" t="s">
        <v>14</v>
      </c>
      <c r="K1293" s="7">
        <v>76.34</v>
      </c>
      <c r="L1293" s="8">
        <v>10</v>
      </c>
      <c r="M1293" s="9"/>
    </row>
    <row r="1294" s="1" customFormat="1" ht="20.1" customHeight="1" spans="1:13">
      <c r="A1294" s="4" t="str">
        <f>"37502022022610132818870"</f>
        <v>37502022022610132818870</v>
      </c>
      <c r="B1294" s="4" t="s">
        <v>1270</v>
      </c>
      <c r="C1294" s="4" t="s">
        <v>1281</v>
      </c>
      <c r="D1294" s="4" t="str">
        <f>"20220264325"</f>
        <v>20220264325</v>
      </c>
      <c r="E1294" s="4" t="str">
        <f t="shared" ref="E1294:E1299" si="251">"43"</f>
        <v>43</v>
      </c>
      <c r="F1294" s="4" t="str">
        <f>"25"</f>
        <v>25</v>
      </c>
      <c r="G1294" s="5">
        <v>68.69</v>
      </c>
      <c r="H1294" s="5" t="s">
        <v>14</v>
      </c>
      <c r="I1294" s="5">
        <v>79.6</v>
      </c>
      <c r="J1294" s="5" t="s">
        <v>14</v>
      </c>
      <c r="K1294" s="7">
        <v>76.33</v>
      </c>
      <c r="L1294" s="8">
        <v>11</v>
      </c>
      <c r="M1294" s="9"/>
    </row>
    <row r="1295" s="1" customFormat="1" ht="20.1" customHeight="1" spans="1:13">
      <c r="A1295" s="4" t="str">
        <f>"37502022030218494425743"</f>
        <v>37502022030218494425743</v>
      </c>
      <c r="B1295" s="4" t="s">
        <v>1270</v>
      </c>
      <c r="C1295" s="4" t="s">
        <v>1282</v>
      </c>
      <c r="D1295" s="4" t="str">
        <f>"20220264504"</f>
        <v>20220264504</v>
      </c>
      <c r="E1295" s="4" t="str">
        <f>"45"</f>
        <v>45</v>
      </c>
      <c r="F1295" s="4" t="str">
        <f>"04"</f>
        <v>04</v>
      </c>
      <c r="G1295" s="5">
        <v>75.62</v>
      </c>
      <c r="H1295" s="5" t="s">
        <v>14</v>
      </c>
      <c r="I1295" s="5">
        <v>76.3</v>
      </c>
      <c r="J1295" s="5" t="s">
        <v>14</v>
      </c>
      <c r="K1295" s="7">
        <v>76.1</v>
      </c>
      <c r="L1295" s="8">
        <v>12</v>
      </c>
      <c r="M1295" s="9"/>
    </row>
    <row r="1296" s="1" customFormat="1" ht="20.1" customHeight="1" spans="1:13">
      <c r="A1296" s="4" t="str">
        <f>"37502022030122284924688"</f>
        <v>37502022030122284924688</v>
      </c>
      <c r="B1296" s="4" t="s">
        <v>1270</v>
      </c>
      <c r="C1296" s="4" t="s">
        <v>1283</v>
      </c>
      <c r="D1296" s="4" t="str">
        <f>"20220264415"</f>
        <v>20220264415</v>
      </c>
      <c r="E1296" s="4" t="str">
        <f t="shared" ref="E1296:E1301" si="252">"44"</f>
        <v>44</v>
      </c>
      <c r="F1296" s="4" t="str">
        <f>"15"</f>
        <v>15</v>
      </c>
      <c r="G1296" s="5">
        <v>68.2</v>
      </c>
      <c r="H1296" s="5" t="s">
        <v>14</v>
      </c>
      <c r="I1296" s="5">
        <v>79.4</v>
      </c>
      <c r="J1296" s="5" t="s">
        <v>14</v>
      </c>
      <c r="K1296" s="7">
        <v>76.04</v>
      </c>
      <c r="L1296" s="8">
        <v>13</v>
      </c>
      <c r="M1296" s="9"/>
    </row>
    <row r="1297" s="1" customFormat="1" ht="20.1" customHeight="1" spans="1:13">
      <c r="A1297" s="4" t="str">
        <f>"37502022030120513924514"</f>
        <v>37502022030120513924514</v>
      </c>
      <c r="B1297" s="4" t="s">
        <v>1270</v>
      </c>
      <c r="C1297" s="4" t="s">
        <v>1284</v>
      </c>
      <c r="D1297" s="4" t="str">
        <f>"20220264327"</f>
        <v>20220264327</v>
      </c>
      <c r="E1297" s="4" t="str">
        <f t="shared" si="251"/>
        <v>43</v>
      </c>
      <c r="F1297" s="4" t="str">
        <f>"27"</f>
        <v>27</v>
      </c>
      <c r="G1297" s="5">
        <v>74.04</v>
      </c>
      <c r="H1297" s="5" t="s">
        <v>14</v>
      </c>
      <c r="I1297" s="5">
        <v>75.9</v>
      </c>
      <c r="J1297" s="5" t="s">
        <v>14</v>
      </c>
      <c r="K1297" s="7">
        <v>75.34</v>
      </c>
      <c r="L1297" s="8">
        <v>14</v>
      </c>
      <c r="M1297" s="9"/>
    </row>
    <row r="1298" s="1" customFormat="1" ht="20.1" customHeight="1" spans="1:13">
      <c r="A1298" s="4" t="str">
        <f>"37502022030113551023788"</f>
        <v>37502022030113551023788</v>
      </c>
      <c r="B1298" s="4" t="s">
        <v>1270</v>
      </c>
      <c r="C1298" s="4" t="s">
        <v>1285</v>
      </c>
      <c r="D1298" s="4" t="str">
        <f>"20220264426"</f>
        <v>20220264426</v>
      </c>
      <c r="E1298" s="4" t="str">
        <f t="shared" si="252"/>
        <v>44</v>
      </c>
      <c r="F1298" s="4" t="str">
        <f>"26"</f>
        <v>26</v>
      </c>
      <c r="G1298" s="5">
        <v>71.14</v>
      </c>
      <c r="H1298" s="5" t="s">
        <v>14</v>
      </c>
      <c r="I1298" s="5">
        <v>76.9</v>
      </c>
      <c r="J1298" s="5" t="s">
        <v>14</v>
      </c>
      <c r="K1298" s="7">
        <v>75.17</v>
      </c>
      <c r="L1298" s="8">
        <v>15</v>
      </c>
      <c r="M1298" s="9"/>
    </row>
    <row r="1299" s="1" customFormat="1" ht="20.1" customHeight="1" spans="1:13">
      <c r="A1299" s="4" t="str">
        <f>"37502022030208120224821"</f>
        <v>37502022030208120224821</v>
      </c>
      <c r="B1299" s="4" t="s">
        <v>1270</v>
      </c>
      <c r="C1299" s="4" t="s">
        <v>1286</v>
      </c>
      <c r="D1299" s="4" t="str">
        <f>"20220264324"</f>
        <v>20220264324</v>
      </c>
      <c r="E1299" s="4" t="str">
        <f t="shared" si="251"/>
        <v>43</v>
      </c>
      <c r="F1299" s="4" t="str">
        <f>"24"</f>
        <v>24</v>
      </c>
      <c r="G1299" s="5">
        <v>76.82</v>
      </c>
      <c r="H1299" s="5" t="s">
        <v>14</v>
      </c>
      <c r="I1299" s="5">
        <v>72.8</v>
      </c>
      <c r="J1299" s="5" t="s">
        <v>14</v>
      </c>
      <c r="K1299" s="7">
        <v>74.01</v>
      </c>
      <c r="L1299" s="8">
        <v>16</v>
      </c>
      <c r="M1299" s="9"/>
    </row>
    <row r="1300" s="1" customFormat="1" ht="20.1" customHeight="1" spans="1:13">
      <c r="A1300" s="4" t="str">
        <f>"37502022030208343124836"</f>
        <v>37502022030208343124836</v>
      </c>
      <c r="B1300" s="4" t="s">
        <v>1270</v>
      </c>
      <c r="C1300" s="4" t="s">
        <v>1283</v>
      </c>
      <c r="D1300" s="4" t="str">
        <f>"20220264414"</f>
        <v>20220264414</v>
      </c>
      <c r="E1300" s="4" t="str">
        <f t="shared" si="252"/>
        <v>44</v>
      </c>
      <c r="F1300" s="4" t="str">
        <f>"14"</f>
        <v>14</v>
      </c>
      <c r="G1300" s="5">
        <v>76.21</v>
      </c>
      <c r="H1300" s="5" t="s">
        <v>14</v>
      </c>
      <c r="I1300" s="5">
        <v>71.5</v>
      </c>
      <c r="J1300" s="5" t="s">
        <v>14</v>
      </c>
      <c r="K1300" s="7">
        <v>72.91</v>
      </c>
      <c r="L1300" s="8">
        <v>17</v>
      </c>
      <c r="M1300" s="9"/>
    </row>
    <row r="1301" s="1" customFormat="1" ht="20.1" customHeight="1" spans="1:13">
      <c r="A1301" s="4" t="str">
        <f>"37502022030118414424255"</f>
        <v>37502022030118414424255</v>
      </c>
      <c r="B1301" s="4" t="s">
        <v>1270</v>
      </c>
      <c r="C1301" s="4" t="s">
        <v>1287</v>
      </c>
      <c r="D1301" s="4" t="str">
        <f>"20220264419"</f>
        <v>20220264419</v>
      </c>
      <c r="E1301" s="4" t="str">
        <f t="shared" si="252"/>
        <v>44</v>
      </c>
      <c r="F1301" s="4" t="str">
        <f>"19"</f>
        <v>19</v>
      </c>
      <c r="G1301" s="5">
        <v>72.5</v>
      </c>
      <c r="H1301" s="5" t="s">
        <v>14</v>
      </c>
      <c r="I1301" s="5">
        <v>72.9</v>
      </c>
      <c r="J1301" s="5" t="s">
        <v>14</v>
      </c>
      <c r="K1301" s="7">
        <v>72.78</v>
      </c>
      <c r="L1301" s="8">
        <v>18</v>
      </c>
      <c r="M1301" s="9"/>
    </row>
    <row r="1302" s="1" customFormat="1" ht="20.1" customHeight="1" spans="1:13">
      <c r="A1302" s="4" t="str">
        <f>"37502022022815194722456"</f>
        <v>37502022022815194722456</v>
      </c>
      <c r="B1302" s="4" t="s">
        <v>1270</v>
      </c>
      <c r="C1302" s="4" t="s">
        <v>1288</v>
      </c>
      <c r="D1302" s="4" t="str">
        <f>"20220264329"</f>
        <v>20220264329</v>
      </c>
      <c r="E1302" s="4" t="str">
        <f t="shared" ref="E1302:E1307" si="253">"43"</f>
        <v>43</v>
      </c>
      <c r="F1302" s="4" t="str">
        <f>"29"</f>
        <v>29</v>
      </c>
      <c r="G1302" s="5">
        <v>70.4</v>
      </c>
      <c r="H1302" s="5" t="s">
        <v>14</v>
      </c>
      <c r="I1302" s="5">
        <v>71.8</v>
      </c>
      <c r="J1302" s="5" t="s">
        <v>14</v>
      </c>
      <c r="K1302" s="7">
        <v>71.38</v>
      </c>
      <c r="L1302" s="8">
        <v>19</v>
      </c>
      <c r="M1302" s="9"/>
    </row>
    <row r="1303" s="1" customFormat="1" ht="20.1" customHeight="1" spans="1:13">
      <c r="A1303" s="4" t="str">
        <f>"37502022030217035725591"</f>
        <v>37502022030217035725591</v>
      </c>
      <c r="B1303" s="4" t="s">
        <v>1270</v>
      </c>
      <c r="C1303" s="4" t="s">
        <v>1289</v>
      </c>
      <c r="D1303" s="4" t="str">
        <f>"20220264323"</f>
        <v>20220264323</v>
      </c>
      <c r="E1303" s="4" t="str">
        <f t="shared" si="253"/>
        <v>43</v>
      </c>
      <c r="F1303" s="4" t="str">
        <f>"23"</f>
        <v>23</v>
      </c>
      <c r="G1303" s="5">
        <v>73.35</v>
      </c>
      <c r="H1303" s="5" t="s">
        <v>14</v>
      </c>
      <c r="I1303" s="5">
        <v>68.2</v>
      </c>
      <c r="J1303" s="5" t="s">
        <v>14</v>
      </c>
      <c r="K1303" s="7">
        <v>69.75</v>
      </c>
      <c r="L1303" s="8">
        <v>20</v>
      </c>
      <c r="M1303" s="9"/>
    </row>
    <row r="1304" s="1" customFormat="1" ht="20.1" customHeight="1" spans="1:13">
      <c r="A1304" s="4" t="str">
        <f>"37502022030210173825004"</f>
        <v>37502022030210173825004</v>
      </c>
      <c r="B1304" s="4" t="s">
        <v>1270</v>
      </c>
      <c r="C1304" s="4" t="s">
        <v>1290</v>
      </c>
      <c r="D1304" s="4" t="str">
        <f>"20220264429"</f>
        <v>20220264429</v>
      </c>
      <c r="E1304" s="4" t="str">
        <f t="shared" ref="E1304:E1306" si="254">"44"</f>
        <v>44</v>
      </c>
      <c r="F1304" s="4" t="str">
        <f>"29"</f>
        <v>29</v>
      </c>
      <c r="G1304" s="5">
        <v>67.51</v>
      </c>
      <c r="H1304" s="5" t="s">
        <v>14</v>
      </c>
      <c r="I1304" s="5">
        <v>70.4</v>
      </c>
      <c r="J1304" s="5" t="s">
        <v>14</v>
      </c>
      <c r="K1304" s="7">
        <v>69.53</v>
      </c>
      <c r="L1304" s="8">
        <v>21</v>
      </c>
      <c r="M1304" s="9"/>
    </row>
    <row r="1305" s="1" customFormat="1" ht="20.1" customHeight="1" spans="1:13">
      <c r="A1305" s="4" t="str">
        <f>"37502022030110143623356"</f>
        <v>37502022030110143623356</v>
      </c>
      <c r="B1305" s="4" t="s">
        <v>1270</v>
      </c>
      <c r="C1305" s="4" t="s">
        <v>1291</v>
      </c>
      <c r="D1305" s="4" t="str">
        <f>"20220264418"</f>
        <v>20220264418</v>
      </c>
      <c r="E1305" s="4" t="str">
        <f t="shared" si="254"/>
        <v>44</v>
      </c>
      <c r="F1305" s="4" t="str">
        <f>"18"</f>
        <v>18</v>
      </c>
      <c r="G1305" s="5">
        <v>63.52</v>
      </c>
      <c r="H1305" s="5" t="s">
        <v>14</v>
      </c>
      <c r="I1305" s="5">
        <v>72</v>
      </c>
      <c r="J1305" s="5" t="s">
        <v>14</v>
      </c>
      <c r="K1305" s="7">
        <v>69.46</v>
      </c>
      <c r="L1305" s="8">
        <v>22</v>
      </c>
      <c r="M1305" s="9"/>
    </row>
    <row r="1306" s="1" customFormat="1" ht="20.1" customHeight="1" spans="1:13">
      <c r="A1306" s="4" t="str">
        <f>"37502022030213203025293"</f>
        <v>37502022030213203025293</v>
      </c>
      <c r="B1306" s="4" t="s">
        <v>1270</v>
      </c>
      <c r="C1306" s="4" t="s">
        <v>1292</v>
      </c>
      <c r="D1306" s="4" t="str">
        <f>"20220264406"</f>
        <v>20220264406</v>
      </c>
      <c r="E1306" s="4" t="str">
        <f t="shared" si="254"/>
        <v>44</v>
      </c>
      <c r="F1306" s="4" t="str">
        <f>"06"</f>
        <v>06</v>
      </c>
      <c r="G1306" s="5">
        <v>68.84</v>
      </c>
      <c r="H1306" s="5" t="s">
        <v>14</v>
      </c>
      <c r="I1306" s="5">
        <v>68.7</v>
      </c>
      <c r="J1306" s="5" t="s">
        <v>14</v>
      </c>
      <c r="K1306" s="7">
        <v>68.74</v>
      </c>
      <c r="L1306" s="8">
        <v>23</v>
      </c>
      <c r="M1306" s="9"/>
    </row>
    <row r="1307" s="1" customFormat="1" ht="20.1" customHeight="1" spans="1:13">
      <c r="A1307" s="4" t="str">
        <f>"37502022030120200024443"</f>
        <v>37502022030120200024443</v>
      </c>
      <c r="B1307" s="4" t="s">
        <v>1270</v>
      </c>
      <c r="C1307" s="4" t="s">
        <v>1293</v>
      </c>
      <c r="D1307" s="4" t="str">
        <f>"20220264322"</f>
        <v>20220264322</v>
      </c>
      <c r="E1307" s="4" t="str">
        <f t="shared" si="253"/>
        <v>43</v>
      </c>
      <c r="F1307" s="4" t="str">
        <f>"22"</f>
        <v>22</v>
      </c>
      <c r="G1307" s="5">
        <v>65.23</v>
      </c>
      <c r="H1307" s="5" t="s">
        <v>14</v>
      </c>
      <c r="I1307" s="5">
        <v>66.5</v>
      </c>
      <c r="J1307" s="5" t="s">
        <v>14</v>
      </c>
      <c r="K1307" s="7">
        <v>66.12</v>
      </c>
      <c r="L1307" s="8">
        <v>24</v>
      </c>
      <c r="M1307" s="9"/>
    </row>
    <row r="1308" s="1" customFormat="1" ht="20.1" customHeight="1" spans="1:13">
      <c r="A1308" s="4" t="str">
        <f>"37502022030109402923271"</f>
        <v>37502022030109402923271</v>
      </c>
      <c r="B1308" s="4" t="s">
        <v>1270</v>
      </c>
      <c r="C1308" s="4" t="s">
        <v>1294</v>
      </c>
      <c r="D1308" s="4" t="str">
        <f>"20220264408"</f>
        <v>20220264408</v>
      </c>
      <c r="E1308" s="4" t="str">
        <f t="shared" ref="E1308:E1311" si="255">"44"</f>
        <v>44</v>
      </c>
      <c r="F1308" s="4" t="str">
        <f>"08"</f>
        <v>08</v>
      </c>
      <c r="G1308" s="5">
        <v>62.14</v>
      </c>
      <c r="H1308" s="5" t="s">
        <v>14</v>
      </c>
      <c r="I1308" s="5">
        <v>66.3</v>
      </c>
      <c r="J1308" s="5" t="s">
        <v>14</v>
      </c>
      <c r="K1308" s="7">
        <v>65.05</v>
      </c>
      <c r="L1308" s="8">
        <v>25</v>
      </c>
      <c r="M1308" s="9"/>
    </row>
    <row r="1309" s="1" customFormat="1" ht="20.1" customHeight="1" spans="1:13">
      <c r="A1309" s="4" t="str">
        <f>"37502022022813012222038"</f>
        <v>37502022022813012222038</v>
      </c>
      <c r="B1309" s="4" t="s">
        <v>1270</v>
      </c>
      <c r="C1309" s="4" t="s">
        <v>1295</v>
      </c>
      <c r="D1309" s="4" t="str">
        <f>"20220264326"</f>
        <v>20220264326</v>
      </c>
      <c r="E1309" s="4" t="str">
        <f>"43"</f>
        <v>43</v>
      </c>
      <c r="F1309" s="4" t="str">
        <f>"26"</f>
        <v>26</v>
      </c>
      <c r="G1309" s="5">
        <v>66.97</v>
      </c>
      <c r="H1309" s="5" t="s">
        <v>14</v>
      </c>
      <c r="I1309" s="5">
        <v>63.5</v>
      </c>
      <c r="J1309" s="5" t="s">
        <v>14</v>
      </c>
      <c r="K1309" s="7">
        <v>64.54</v>
      </c>
      <c r="L1309" s="8">
        <v>26</v>
      </c>
      <c r="M1309" s="9"/>
    </row>
    <row r="1310" s="1" customFormat="1" ht="20.1" customHeight="1" spans="1:13">
      <c r="A1310" s="4" t="str">
        <f>"37502022022810541721701"</f>
        <v>37502022022810541721701</v>
      </c>
      <c r="B1310" s="4" t="s">
        <v>1270</v>
      </c>
      <c r="C1310" s="4" t="s">
        <v>1296</v>
      </c>
      <c r="D1310" s="4" t="str">
        <f>"20220264420"</f>
        <v>20220264420</v>
      </c>
      <c r="E1310" s="4" t="str">
        <f t="shared" si="255"/>
        <v>44</v>
      </c>
      <c r="F1310" s="4" t="str">
        <f>"20"</f>
        <v>20</v>
      </c>
      <c r="G1310" s="5">
        <v>52.88</v>
      </c>
      <c r="H1310" s="5" t="s">
        <v>14</v>
      </c>
      <c r="I1310" s="5">
        <v>62</v>
      </c>
      <c r="J1310" s="5" t="s">
        <v>14</v>
      </c>
      <c r="K1310" s="7">
        <v>59.26</v>
      </c>
      <c r="L1310" s="8">
        <v>27</v>
      </c>
      <c r="M1310" s="9"/>
    </row>
    <row r="1311" s="1" customFormat="1" ht="20.1" customHeight="1" spans="1:13">
      <c r="A1311" s="4" t="str">
        <f>"37502022022609243618707"</f>
        <v>37502022022609243618707</v>
      </c>
      <c r="B1311" s="4" t="s">
        <v>1270</v>
      </c>
      <c r="C1311" s="4" t="s">
        <v>1297</v>
      </c>
      <c r="D1311" s="4" t="str">
        <f>"20220264430"</f>
        <v>20220264430</v>
      </c>
      <c r="E1311" s="4" t="str">
        <f t="shared" si="255"/>
        <v>44</v>
      </c>
      <c r="F1311" s="4" t="str">
        <f>"30"</f>
        <v>30</v>
      </c>
      <c r="G1311" s="5">
        <v>0</v>
      </c>
      <c r="H1311" s="5" t="s">
        <v>74</v>
      </c>
      <c r="I1311" s="5">
        <v>0</v>
      </c>
      <c r="J1311" s="5" t="s">
        <v>74</v>
      </c>
      <c r="K1311" s="7">
        <v>0</v>
      </c>
      <c r="L1311" s="8">
        <v>28</v>
      </c>
      <c r="M1311" s="9"/>
    </row>
    <row r="1312" s="1" customFormat="1" ht="20.1" customHeight="1" spans="1:13">
      <c r="A1312" s="4" t="str">
        <f>"37502022022609404818761"</f>
        <v>37502022022609404818761</v>
      </c>
      <c r="B1312" s="4" t="s">
        <v>1270</v>
      </c>
      <c r="C1312" s="4" t="s">
        <v>1298</v>
      </c>
      <c r="D1312" s="4" t="str">
        <f>"20220264328"</f>
        <v>20220264328</v>
      </c>
      <c r="E1312" s="4" t="str">
        <f>"43"</f>
        <v>43</v>
      </c>
      <c r="F1312" s="4" t="str">
        <f>"28"</f>
        <v>28</v>
      </c>
      <c r="G1312" s="5">
        <v>0</v>
      </c>
      <c r="H1312" s="5" t="s">
        <v>74</v>
      </c>
      <c r="I1312" s="5">
        <v>0</v>
      </c>
      <c r="J1312" s="5" t="s">
        <v>74</v>
      </c>
      <c r="K1312" s="7">
        <v>0</v>
      </c>
      <c r="L1312" s="8">
        <v>28</v>
      </c>
      <c r="M1312" s="9"/>
    </row>
    <row r="1313" s="1" customFormat="1" ht="20.1" customHeight="1" spans="1:13">
      <c r="A1313" s="4" t="str">
        <f>"37502022022610442018951"</f>
        <v>37502022022610442018951</v>
      </c>
      <c r="B1313" s="4" t="s">
        <v>1270</v>
      </c>
      <c r="C1313" s="4" t="s">
        <v>1299</v>
      </c>
      <c r="D1313" s="4" t="str">
        <f>"20220264427"</f>
        <v>20220264427</v>
      </c>
      <c r="E1313" s="4" t="str">
        <f t="shared" ref="E1313:E1325" si="256">"44"</f>
        <v>44</v>
      </c>
      <c r="F1313" s="4" t="str">
        <f>"27"</f>
        <v>27</v>
      </c>
      <c r="G1313" s="5">
        <v>0</v>
      </c>
      <c r="H1313" s="5" t="s">
        <v>74</v>
      </c>
      <c r="I1313" s="5">
        <v>0</v>
      </c>
      <c r="J1313" s="5" t="s">
        <v>74</v>
      </c>
      <c r="K1313" s="7">
        <v>0</v>
      </c>
      <c r="L1313" s="8">
        <v>28</v>
      </c>
      <c r="M1313" s="9"/>
    </row>
    <row r="1314" s="1" customFormat="1" ht="20.1" customHeight="1" spans="1:13">
      <c r="A1314" s="4" t="str">
        <f>"37502022022618361319509"</f>
        <v>37502022022618361319509</v>
      </c>
      <c r="B1314" s="4" t="s">
        <v>1270</v>
      </c>
      <c r="C1314" s="4" t="s">
        <v>1300</v>
      </c>
      <c r="D1314" s="4" t="str">
        <f>"20220264425"</f>
        <v>20220264425</v>
      </c>
      <c r="E1314" s="4" t="str">
        <f t="shared" si="256"/>
        <v>44</v>
      </c>
      <c r="F1314" s="4" t="str">
        <f>"25"</f>
        <v>25</v>
      </c>
      <c r="G1314" s="5">
        <v>0</v>
      </c>
      <c r="H1314" s="5" t="s">
        <v>74</v>
      </c>
      <c r="I1314" s="5">
        <v>0</v>
      </c>
      <c r="J1314" s="5" t="s">
        <v>74</v>
      </c>
      <c r="K1314" s="7">
        <v>0</v>
      </c>
      <c r="L1314" s="8">
        <v>28</v>
      </c>
      <c r="M1314" s="9"/>
    </row>
    <row r="1315" s="1" customFormat="1" ht="20.1" customHeight="1" spans="1:13">
      <c r="A1315" s="4" t="str">
        <f>"37502022022707024019858"</f>
        <v>37502022022707024019858</v>
      </c>
      <c r="B1315" s="4" t="s">
        <v>1270</v>
      </c>
      <c r="C1315" s="4" t="s">
        <v>1301</v>
      </c>
      <c r="D1315" s="4" t="str">
        <f>"20220264401"</f>
        <v>20220264401</v>
      </c>
      <c r="E1315" s="4" t="str">
        <f t="shared" si="256"/>
        <v>44</v>
      </c>
      <c r="F1315" s="4" t="str">
        <f>"01"</f>
        <v>01</v>
      </c>
      <c r="G1315" s="5">
        <v>0</v>
      </c>
      <c r="H1315" s="5" t="s">
        <v>74</v>
      </c>
      <c r="I1315" s="5">
        <v>0</v>
      </c>
      <c r="J1315" s="5" t="s">
        <v>74</v>
      </c>
      <c r="K1315" s="7">
        <v>0</v>
      </c>
      <c r="L1315" s="8">
        <v>28</v>
      </c>
      <c r="M1315" s="9"/>
    </row>
    <row r="1316" s="1" customFormat="1" ht="20.1" customHeight="1" spans="1:13">
      <c r="A1316" s="4" t="str">
        <f>"37502022022716453520470"</f>
        <v>37502022022716453520470</v>
      </c>
      <c r="B1316" s="4" t="s">
        <v>1270</v>
      </c>
      <c r="C1316" s="4" t="s">
        <v>1302</v>
      </c>
      <c r="D1316" s="4" t="str">
        <f>"20220264407"</f>
        <v>20220264407</v>
      </c>
      <c r="E1316" s="4" t="str">
        <f t="shared" si="256"/>
        <v>44</v>
      </c>
      <c r="F1316" s="4" t="str">
        <f>"07"</f>
        <v>07</v>
      </c>
      <c r="G1316" s="5">
        <v>0</v>
      </c>
      <c r="H1316" s="5" t="s">
        <v>74</v>
      </c>
      <c r="I1316" s="5">
        <v>0</v>
      </c>
      <c r="J1316" s="5" t="s">
        <v>74</v>
      </c>
      <c r="K1316" s="7">
        <v>0</v>
      </c>
      <c r="L1316" s="8">
        <v>28</v>
      </c>
      <c r="M1316" s="9"/>
    </row>
    <row r="1317" s="1" customFormat="1" ht="20.1" customHeight="1" spans="1:13">
      <c r="A1317" s="4" t="str">
        <f>"37502022022717154420513"</f>
        <v>37502022022717154420513</v>
      </c>
      <c r="B1317" s="4" t="s">
        <v>1270</v>
      </c>
      <c r="C1317" s="4" t="s">
        <v>1303</v>
      </c>
      <c r="D1317" s="4" t="str">
        <f>"20220264405"</f>
        <v>20220264405</v>
      </c>
      <c r="E1317" s="4" t="str">
        <f t="shared" si="256"/>
        <v>44</v>
      </c>
      <c r="F1317" s="4" t="str">
        <f>"05"</f>
        <v>05</v>
      </c>
      <c r="G1317" s="5">
        <v>0</v>
      </c>
      <c r="H1317" s="5" t="s">
        <v>74</v>
      </c>
      <c r="I1317" s="5">
        <v>0</v>
      </c>
      <c r="J1317" s="5" t="s">
        <v>74</v>
      </c>
      <c r="K1317" s="7">
        <v>0</v>
      </c>
      <c r="L1317" s="8">
        <v>28</v>
      </c>
      <c r="M1317" s="9"/>
    </row>
    <row r="1318" s="1" customFormat="1" ht="20.1" customHeight="1" spans="1:13">
      <c r="A1318" s="4" t="str">
        <f>"37502022022720321820820"</f>
        <v>37502022022720321820820</v>
      </c>
      <c r="B1318" s="4" t="s">
        <v>1270</v>
      </c>
      <c r="C1318" s="4" t="s">
        <v>1304</v>
      </c>
      <c r="D1318" s="4" t="str">
        <f>"20220264424"</f>
        <v>20220264424</v>
      </c>
      <c r="E1318" s="4" t="str">
        <f t="shared" si="256"/>
        <v>44</v>
      </c>
      <c r="F1318" s="4" t="str">
        <f>"24"</f>
        <v>24</v>
      </c>
      <c r="G1318" s="5">
        <v>0</v>
      </c>
      <c r="H1318" s="5" t="s">
        <v>74</v>
      </c>
      <c r="I1318" s="5">
        <v>0</v>
      </c>
      <c r="J1318" s="5" t="s">
        <v>74</v>
      </c>
      <c r="K1318" s="7">
        <v>0</v>
      </c>
      <c r="L1318" s="8">
        <v>28</v>
      </c>
      <c r="M1318" s="9"/>
    </row>
    <row r="1319" s="1" customFormat="1" ht="20.1" customHeight="1" spans="1:13">
      <c r="A1319" s="4" t="str">
        <f>"37502022022811155921750"</f>
        <v>37502022022811155921750</v>
      </c>
      <c r="B1319" s="4" t="s">
        <v>1270</v>
      </c>
      <c r="C1319" s="4" t="s">
        <v>595</v>
      </c>
      <c r="D1319" s="4" t="str">
        <f>"20220264412"</f>
        <v>20220264412</v>
      </c>
      <c r="E1319" s="4" t="str">
        <f t="shared" si="256"/>
        <v>44</v>
      </c>
      <c r="F1319" s="4" t="str">
        <f>"12"</f>
        <v>12</v>
      </c>
      <c r="G1319" s="5">
        <v>0</v>
      </c>
      <c r="H1319" s="5" t="s">
        <v>74</v>
      </c>
      <c r="I1319" s="5">
        <v>0</v>
      </c>
      <c r="J1319" s="5" t="s">
        <v>74</v>
      </c>
      <c r="K1319" s="7">
        <v>0</v>
      </c>
      <c r="L1319" s="8">
        <v>28</v>
      </c>
      <c r="M1319" s="9"/>
    </row>
    <row r="1320" s="1" customFormat="1" ht="20.1" customHeight="1" spans="1:13">
      <c r="A1320" s="4" t="str">
        <f>"37502022022816031722603"</f>
        <v>37502022022816031722603</v>
      </c>
      <c r="B1320" s="4" t="s">
        <v>1270</v>
      </c>
      <c r="C1320" s="4" t="s">
        <v>1305</v>
      </c>
      <c r="D1320" s="4" t="str">
        <f>"20220264411"</f>
        <v>20220264411</v>
      </c>
      <c r="E1320" s="4" t="str">
        <f t="shared" si="256"/>
        <v>44</v>
      </c>
      <c r="F1320" s="4" t="str">
        <f>"11"</f>
        <v>11</v>
      </c>
      <c r="G1320" s="5">
        <v>0</v>
      </c>
      <c r="H1320" s="5" t="s">
        <v>74</v>
      </c>
      <c r="I1320" s="5">
        <v>0</v>
      </c>
      <c r="J1320" s="5" t="s">
        <v>74</v>
      </c>
      <c r="K1320" s="7">
        <v>0</v>
      </c>
      <c r="L1320" s="8">
        <v>28</v>
      </c>
      <c r="M1320" s="9"/>
    </row>
    <row r="1321" s="1" customFormat="1" ht="20.1" customHeight="1" spans="1:13">
      <c r="A1321" s="4" t="str">
        <f>"37502022022818535722862"</f>
        <v>37502022022818535722862</v>
      </c>
      <c r="B1321" s="4" t="s">
        <v>1270</v>
      </c>
      <c r="C1321" s="4" t="s">
        <v>1306</v>
      </c>
      <c r="D1321" s="4" t="str">
        <f>"20220264428"</f>
        <v>20220264428</v>
      </c>
      <c r="E1321" s="4" t="str">
        <f t="shared" si="256"/>
        <v>44</v>
      </c>
      <c r="F1321" s="4" t="str">
        <f>"28"</f>
        <v>28</v>
      </c>
      <c r="G1321" s="5">
        <v>0</v>
      </c>
      <c r="H1321" s="5" t="s">
        <v>74</v>
      </c>
      <c r="I1321" s="5">
        <v>0</v>
      </c>
      <c r="J1321" s="5" t="s">
        <v>74</v>
      </c>
      <c r="K1321" s="7">
        <v>0</v>
      </c>
      <c r="L1321" s="8">
        <v>28</v>
      </c>
      <c r="M1321" s="9"/>
    </row>
    <row r="1322" s="1" customFormat="1" ht="20.1" customHeight="1" spans="1:13">
      <c r="A1322" s="4" t="str">
        <f>"37502022030115273123919"</f>
        <v>37502022030115273123919</v>
      </c>
      <c r="B1322" s="4" t="s">
        <v>1270</v>
      </c>
      <c r="C1322" s="4" t="s">
        <v>1307</v>
      </c>
      <c r="D1322" s="4" t="str">
        <f>"20220264410"</f>
        <v>20220264410</v>
      </c>
      <c r="E1322" s="4" t="str">
        <f t="shared" si="256"/>
        <v>44</v>
      </c>
      <c r="F1322" s="4" t="str">
        <f>"10"</f>
        <v>10</v>
      </c>
      <c r="G1322" s="5">
        <v>0</v>
      </c>
      <c r="H1322" s="5" t="s">
        <v>74</v>
      </c>
      <c r="I1322" s="5">
        <v>0</v>
      </c>
      <c r="J1322" s="5" t="s">
        <v>74</v>
      </c>
      <c r="K1322" s="7">
        <v>0</v>
      </c>
      <c r="L1322" s="8">
        <v>28</v>
      </c>
      <c r="M1322" s="9"/>
    </row>
    <row r="1323" s="1" customFormat="1" ht="20.1" customHeight="1" spans="1:13">
      <c r="A1323" s="4" t="str">
        <f>"37502022030118162324205"</f>
        <v>37502022030118162324205</v>
      </c>
      <c r="B1323" s="4" t="s">
        <v>1270</v>
      </c>
      <c r="C1323" s="4" t="s">
        <v>1308</v>
      </c>
      <c r="D1323" s="4" t="str">
        <f>"20220264404"</f>
        <v>20220264404</v>
      </c>
      <c r="E1323" s="4" t="str">
        <f t="shared" si="256"/>
        <v>44</v>
      </c>
      <c r="F1323" s="4" t="str">
        <f>"04"</f>
        <v>04</v>
      </c>
      <c r="G1323" s="5">
        <v>0</v>
      </c>
      <c r="H1323" s="5" t="s">
        <v>74</v>
      </c>
      <c r="I1323" s="5">
        <v>0</v>
      </c>
      <c r="J1323" s="5" t="s">
        <v>74</v>
      </c>
      <c r="K1323" s="7">
        <v>0</v>
      </c>
      <c r="L1323" s="8">
        <v>28</v>
      </c>
      <c r="M1323" s="9"/>
    </row>
    <row r="1324" s="1" customFormat="1" ht="20.1" customHeight="1" spans="1:13">
      <c r="A1324" s="4" t="str">
        <f>"37502022030119141524324"</f>
        <v>37502022030119141524324</v>
      </c>
      <c r="B1324" s="4" t="s">
        <v>1270</v>
      </c>
      <c r="C1324" s="4" t="s">
        <v>1309</v>
      </c>
      <c r="D1324" s="4" t="str">
        <f>"20220264413"</f>
        <v>20220264413</v>
      </c>
      <c r="E1324" s="4" t="str">
        <f t="shared" si="256"/>
        <v>44</v>
      </c>
      <c r="F1324" s="4" t="str">
        <f>"13"</f>
        <v>13</v>
      </c>
      <c r="G1324" s="5">
        <v>0</v>
      </c>
      <c r="H1324" s="5" t="s">
        <v>74</v>
      </c>
      <c r="I1324" s="5">
        <v>0</v>
      </c>
      <c r="J1324" s="5" t="s">
        <v>74</v>
      </c>
      <c r="K1324" s="7">
        <v>0</v>
      </c>
      <c r="L1324" s="8">
        <v>28</v>
      </c>
      <c r="M1324" s="9"/>
    </row>
    <row r="1325" s="1" customFormat="1" ht="20.1" customHeight="1" spans="1:13">
      <c r="A1325" s="4" t="str">
        <f>"37502022030209113224891"</f>
        <v>37502022030209113224891</v>
      </c>
      <c r="B1325" s="4" t="s">
        <v>1270</v>
      </c>
      <c r="C1325" s="4" t="s">
        <v>1310</v>
      </c>
      <c r="D1325" s="4" t="str">
        <f>"20220264417"</f>
        <v>20220264417</v>
      </c>
      <c r="E1325" s="4" t="str">
        <f t="shared" si="256"/>
        <v>44</v>
      </c>
      <c r="F1325" s="4" t="str">
        <f>"17"</f>
        <v>17</v>
      </c>
      <c r="G1325" s="5">
        <v>0</v>
      </c>
      <c r="H1325" s="5" t="s">
        <v>74</v>
      </c>
      <c r="I1325" s="5">
        <v>0</v>
      </c>
      <c r="J1325" s="5" t="s">
        <v>74</v>
      </c>
      <c r="K1325" s="7">
        <v>0</v>
      </c>
      <c r="L1325" s="8">
        <v>28</v>
      </c>
      <c r="M1325" s="9"/>
    </row>
    <row r="1326" s="1" customFormat="1" ht="20.1" customHeight="1" spans="1:13">
      <c r="A1326" s="4" t="str">
        <f>"37502022030216322425537"</f>
        <v>37502022030216322425537</v>
      </c>
      <c r="B1326" s="4" t="s">
        <v>1270</v>
      </c>
      <c r="C1326" s="4" t="s">
        <v>369</v>
      </c>
      <c r="D1326" s="4" t="str">
        <f>"20220264330"</f>
        <v>20220264330</v>
      </c>
      <c r="E1326" s="4" t="str">
        <f>"43"</f>
        <v>43</v>
      </c>
      <c r="F1326" s="4" t="str">
        <f>"30"</f>
        <v>30</v>
      </c>
      <c r="G1326" s="5">
        <v>0</v>
      </c>
      <c r="H1326" s="5" t="s">
        <v>74</v>
      </c>
      <c r="I1326" s="5">
        <v>0</v>
      </c>
      <c r="J1326" s="5" t="s">
        <v>74</v>
      </c>
      <c r="K1326" s="7">
        <v>0</v>
      </c>
      <c r="L1326" s="8">
        <v>28</v>
      </c>
      <c r="M1326" s="9"/>
    </row>
    <row r="1327" s="1" customFormat="1" ht="20.1" customHeight="1" spans="1:13">
      <c r="A1327" s="4" t="str">
        <f>"37502022022713262720164"</f>
        <v>37502022022713262720164</v>
      </c>
      <c r="B1327" s="4" t="s">
        <v>1311</v>
      </c>
      <c r="C1327" s="4" t="s">
        <v>1312</v>
      </c>
      <c r="D1327" s="4" t="str">
        <f>"20220274610"</f>
        <v>20220274610</v>
      </c>
      <c r="E1327" s="4" t="str">
        <f t="shared" ref="E1327:E1333" si="257">"46"</f>
        <v>46</v>
      </c>
      <c r="F1327" s="4" t="str">
        <f>"10"</f>
        <v>10</v>
      </c>
      <c r="G1327" s="5">
        <v>84.51</v>
      </c>
      <c r="H1327" s="5" t="s">
        <v>14</v>
      </c>
      <c r="I1327" s="5">
        <v>84.7</v>
      </c>
      <c r="J1327" s="5" t="s">
        <v>14</v>
      </c>
      <c r="K1327" s="7">
        <v>84.64</v>
      </c>
      <c r="L1327" s="8">
        <v>1</v>
      </c>
      <c r="M1327" s="9"/>
    </row>
    <row r="1328" s="1" customFormat="1" ht="20.1" customHeight="1" spans="1:13">
      <c r="A1328" s="4" t="str">
        <f>"37502022022610215518906"</f>
        <v>37502022022610215518906</v>
      </c>
      <c r="B1328" s="4" t="s">
        <v>1311</v>
      </c>
      <c r="C1328" s="4" t="s">
        <v>1313</v>
      </c>
      <c r="D1328" s="4" t="str">
        <f>"20220274606"</f>
        <v>20220274606</v>
      </c>
      <c r="E1328" s="4" t="str">
        <f t="shared" si="257"/>
        <v>46</v>
      </c>
      <c r="F1328" s="4" t="str">
        <f>"06"</f>
        <v>06</v>
      </c>
      <c r="G1328" s="5">
        <v>82.26</v>
      </c>
      <c r="H1328" s="5" t="s">
        <v>14</v>
      </c>
      <c r="I1328" s="5">
        <v>84.4</v>
      </c>
      <c r="J1328" s="5" t="s">
        <v>14</v>
      </c>
      <c r="K1328" s="7">
        <v>83.76</v>
      </c>
      <c r="L1328" s="8">
        <v>2</v>
      </c>
      <c r="M1328" s="9"/>
    </row>
    <row r="1329" s="1" customFormat="1" ht="20.1" customHeight="1" spans="1:13">
      <c r="A1329" s="4" t="str">
        <f>"37502022022808123721298"</f>
        <v>37502022022808123721298</v>
      </c>
      <c r="B1329" s="4" t="s">
        <v>1311</v>
      </c>
      <c r="C1329" s="4" t="s">
        <v>1314</v>
      </c>
      <c r="D1329" s="4" t="str">
        <f>"20220274514"</f>
        <v>20220274514</v>
      </c>
      <c r="E1329" s="4" t="str">
        <f t="shared" ref="E1329:E1331" si="258">"45"</f>
        <v>45</v>
      </c>
      <c r="F1329" s="4" t="str">
        <f>"14"</f>
        <v>14</v>
      </c>
      <c r="G1329" s="5">
        <v>72.16</v>
      </c>
      <c r="H1329" s="5" t="s">
        <v>14</v>
      </c>
      <c r="I1329" s="5">
        <v>82.1</v>
      </c>
      <c r="J1329" s="5" t="s">
        <v>14</v>
      </c>
      <c r="K1329" s="7">
        <v>79.12</v>
      </c>
      <c r="L1329" s="8">
        <v>3</v>
      </c>
      <c r="M1329" s="9"/>
    </row>
    <row r="1330" s="1" customFormat="1" ht="20.1" customHeight="1" spans="1:13">
      <c r="A1330" s="4" t="str">
        <f>"37502022022615235219307"</f>
        <v>37502022022615235219307</v>
      </c>
      <c r="B1330" s="4" t="s">
        <v>1311</v>
      </c>
      <c r="C1330" s="4" t="s">
        <v>1315</v>
      </c>
      <c r="D1330" s="4" t="str">
        <f>"20220274520"</f>
        <v>20220274520</v>
      </c>
      <c r="E1330" s="4" t="str">
        <f t="shared" si="258"/>
        <v>45</v>
      </c>
      <c r="F1330" s="4" t="str">
        <f>"20"</f>
        <v>20</v>
      </c>
      <c r="G1330" s="5">
        <v>78.6</v>
      </c>
      <c r="H1330" s="5" t="s">
        <v>14</v>
      </c>
      <c r="I1330" s="5">
        <v>75.5</v>
      </c>
      <c r="J1330" s="5" t="s">
        <v>14</v>
      </c>
      <c r="K1330" s="7">
        <v>76.43</v>
      </c>
      <c r="L1330" s="8">
        <v>4</v>
      </c>
      <c r="M1330" s="9"/>
    </row>
    <row r="1331" s="1" customFormat="1" ht="20.1" customHeight="1" spans="1:13">
      <c r="A1331" s="4" t="str">
        <f>"37502022030120474824508"</f>
        <v>37502022030120474824508</v>
      </c>
      <c r="B1331" s="4" t="s">
        <v>1311</v>
      </c>
      <c r="C1331" s="4" t="s">
        <v>1316</v>
      </c>
      <c r="D1331" s="4" t="str">
        <f>"20220274524"</f>
        <v>20220274524</v>
      </c>
      <c r="E1331" s="4" t="str">
        <f t="shared" si="258"/>
        <v>45</v>
      </c>
      <c r="F1331" s="4" t="str">
        <f>"24"</f>
        <v>24</v>
      </c>
      <c r="G1331" s="5">
        <v>75.27</v>
      </c>
      <c r="H1331" s="5" t="s">
        <v>14</v>
      </c>
      <c r="I1331" s="5">
        <v>75.9</v>
      </c>
      <c r="J1331" s="5" t="s">
        <v>14</v>
      </c>
      <c r="K1331" s="7">
        <v>75.71</v>
      </c>
      <c r="L1331" s="8">
        <v>5</v>
      </c>
      <c r="M1331" s="9"/>
    </row>
    <row r="1332" s="1" customFormat="1" ht="20.1" customHeight="1" spans="1:13">
      <c r="A1332" s="4" t="str">
        <f>"37502022022621583719728"</f>
        <v>37502022022621583719728</v>
      </c>
      <c r="B1332" s="4" t="s">
        <v>1311</v>
      </c>
      <c r="C1332" s="4" t="s">
        <v>1317</v>
      </c>
      <c r="D1332" s="4" t="str">
        <f>"20220274605"</f>
        <v>20220274605</v>
      </c>
      <c r="E1332" s="4" t="str">
        <f t="shared" si="257"/>
        <v>46</v>
      </c>
      <c r="F1332" s="4" t="str">
        <f>"05"</f>
        <v>05</v>
      </c>
      <c r="G1332" s="5">
        <v>73.8</v>
      </c>
      <c r="H1332" s="5" t="s">
        <v>14</v>
      </c>
      <c r="I1332" s="5">
        <v>76.5</v>
      </c>
      <c r="J1332" s="5" t="s">
        <v>14</v>
      </c>
      <c r="K1332" s="7">
        <v>75.69</v>
      </c>
      <c r="L1332" s="8">
        <v>6</v>
      </c>
      <c r="M1332" s="9"/>
    </row>
    <row r="1333" s="1" customFormat="1" ht="20.1" customHeight="1" spans="1:13">
      <c r="A1333" s="4" t="str">
        <f>"37502022030119205724340"</f>
        <v>37502022030119205724340</v>
      </c>
      <c r="B1333" s="4" t="s">
        <v>1311</v>
      </c>
      <c r="C1333" s="4" t="s">
        <v>746</v>
      </c>
      <c r="D1333" s="4" t="str">
        <f>"20220274604"</f>
        <v>20220274604</v>
      </c>
      <c r="E1333" s="4" t="str">
        <f t="shared" si="257"/>
        <v>46</v>
      </c>
      <c r="F1333" s="4" t="str">
        <f>"04"</f>
        <v>04</v>
      </c>
      <c r="G1333" s="5">
        <v>77.64</v>
      </c>
      <c r="H1333" s="5" t="s">
        <v>14</v>
      </c>
      <c r="I1333" s="5">
        <v>74.6</v>
      </c>
      <c r="J1333" s="5" t="s">
        <v>14</v>
      </c>
      <c r="K1333" s="7">
        <v>75.51</v>
      </c>
      <c r="L1333" s="8">
        <v>7</v>
      </c>
      <c r="M1333" s="9"/>
    </row>
    <row r="1334" s="1" customFormat="1" ht="20.1" customHeight="1" spans="1:13">
      <c r="A1334" s="4" t="str">
        <f>"37502022022720400420837"</f>
        <v>37502022022720400420837</v>
      </c>
      <c r="B1334" s="4" t="s">
        <v>1311</v>
      </c>
      <c r="C1334" s="4" t="s">
        <v>1318</v>
      </c>
      <c r="D1334" s="4" t="str">
        <f>"20220274516"</f>
        <v>20220274516</v>
      </c>
      <c r="E1334" s="4" t="str">
        <f t="shared" ref="E1334:E1336" si="259">"45"</f>
        <v>45</v>
      </c>
      <c r="F1334" s="4" t="str">
        <f>"16"</f>
        <v>16</v>
      </c>
      <c r="G1334" s="5">
        <v>71.44</v>
      </c>
      <c r="H1334" s="5" t="s">
        <v>14</v>
      </c>
      <c r="I1334" s="5">
        <v>77</v>
      </c>
      <c r="J1334" s="5" t="s">
        <v>14</v>
      </c>
      <c r="K1334" s="7">
        <v>75.33</v>
      </c>
      <c r="L1334" s="8">
        <v>8</v>
      </c>
      <c r="M1334" s="9"/>
    </row>
    <row r="1335" s="1" customFormat="1" ht="20.1" customHeight="1" spans="1:13">
      <c r="A1335" s="4" t="str">
        <f>"37502022030214251125387"</f>
        <v>37502022030214251125387</v>
      </c>
      <c r="B1335" s="4" t="s">
        <v>1311</v>
      </c>
      <c r="C1335" s="4" t="s">
        <v>1319</v>
      </c>
      <c r="D1335" s="4" t="str">
        <f>"20220274505"</f>
        <v>20220274505</v>
      </c>
      <c r="E1335" s="4" t="str">
        <f t="shared" si="259"/>
        <v>45</v>
      </c>
      <c r="F1335" s="4" t="str">
        <f>"05"</f>
        <v>05</v>
      </c>
      <c r="G1335" s="5">
        <v>72.08</v>
      </c>
      <c r="H1335" s="5" t="s">
        <v>14</v>
      </c>
      <c r="I1335" s="5">
        <v>76.5</v>
      </c>
      <c r="J1335" s="5" t="s">
        <v>14</v>
      </c>
      <c r="K1335" s="7">
        <v>75.17</v>
      </c>
      <c r="L1335" s="8">
        <v>9</v>
      </c>
      <c r="M1335" s="9"/>
    </row>
    <row r="1336" s="1" customFormat="1" ht="20.1" customHeight="1" spans="1:13">
      <c r="A1336" s="4" t="str">
        <f>"37502022022610123018863"</f>
        <v>37502022022610123018863</v>
      </c>
      <c r="B1336" s="4" t="s">
        <v>1311</v>
      </c>
      <c r="C1336" s="4" t="s">
        <v>1320</v>
      </c>
      <c r="D1336" s="4" t="str">
        <f>"20220274508"</f>
        <v>20220274508</v>
      </c>
      <c r="E1336" s="4" t="str">
        <f t="shared" si="259"/>
        <v>45</v>
      </c>
      <c r="F1336" s="4" t="str">
        <f>"08"</f>
        <v>08</v>
      </c>
      <c r="G1336" s="5">
        <v>75.36</v>
      </c>
      <c r="H1336" s="5" t="s">
        <v>14</v>
      </c>
      <c r="I1336" s="5">
        <v>74.8</v>
      </c>
      <c r="J1336" s="5" t="s">
        <v>14</v>
      </c>
      <c r="K1336" s="7">
        <v>74.97</v>
      </c>
      <c r="L1336" s="8">
        <v>10</v>
      </c>
      <c r="M1336" s="9"/>
    </row>
    <row r="1337" s="1" customFormat="1" ht="20.1" customHeight="1" spans="1:13">
      <c r="A1337" s="4" t="str">
        <f>"37502022022615085319287"</f>
        <v>37502022022615085319287</v>
      </c>
      <c r="B1337" s="4" t="s">
        <v>1311</v>
      </c>
      <c r="C1337" s="4" t="s">
        <v>1321</v>
      </c>
      <c r="D1337" s="4" t="str">
        <f>"20220274602"</f>
        <v>20220274602</v>
      </c>
      <c r="E1337" s="4" t="str">
        <f>"46"</f>
        <v>46</v>
      </c>
      <c r="F1337" s="4" t="str">
        <f>"02"</f>
        <v>02</v>
      </c>
      <c r="G1337" s="5">
        <v>75.93</v>
      </c>
      <c r="H1337" s="5" t="s">
        <v>14</v>
      </c>
      <c r="I1337" s="5">
        <v>73.6</v>
      </c>
      <c r="J1337" s="5" t="s">
        <v>14</v>
      </c>
      <c r="K1337" s="7">
        <v>74.3</v>
      </c>
      <c r="L1337" s="8">
        <v>11</v>
      </c>
      <c r="M1337" s="9"/>
    </row>
    <row r="1338" s="1" customFormat="1" ht="20.1" customHeight="1" spans="1:13">
      <c r="A1338" s="4" t="str">
        <f>"37502022030120412024491"</f>
        <v>37502022030120412024491</v>
      </c>
      <c r="B1338" s="4" t="s">
        <v>1311</v>
      </c>
      <c r="C1338" s="4" t="s">
        <v>1322</v>
      </c>
      <c r="D1338" s="4" t="str">
        <f>"20220274530"</f>
        <v>20220274530</v>
      </c>
      <c r="E1338" s="4" t="str">
        <f t="shared" ref="E1338:E1342" si="260">"45"</f>
        <v>45</v>
      </c>
      <c r="F1338" s="4" t="str">
        <f>"30"</f>
        <v>30</v>
      </c>
      <c r="G1338" s="5">
        <v>74.28</v>
      </c>
      <c r="H1338" s="5" t="s">
        <v>14</v>
      </c>
      <c r="I1338" s="5">
        <v>72.7</v>
      </c>
      <c r="J1338" s="5" t="s">
        <v>14</v>
      </c>
      <c r="K1338" s="7">
        <v>73.17</v>
      </c>
      <c r="L1338" s="8">
        <v>12</v>
      </c>
      <c r="M1338" s="9"/>
    </row>
    <row r="1339" s="1" customFormat="1" ht="20.1" customHeight="1" spans="1:13">
      <c r="A1339" s="4" t="str">
        <f>"37502022022721191120910"</f>
        <v>37502022022721191120910</v>
      </c>
      <c r="B1339" s="4" t="s">
        <v>1311</v>
      </c>
      <c r="C1339" s="4" t="s">
        <v>1323</v>
      </c>
      <c r="D1339" s="4" t="str">
        <f>"20220274517"</f>
        <v>20220274517</v>
      </c>
      <c r="E1339" s="4" t="str">
        <f t="shared" si="260"/>
        <v>45</v>
      </c>
      <c r="F1339" s="4" t="str">
        <f>"17"</f>
        <v>17</v>
      </c>
      <c r="G1339" s="5">
        <v>71.94</v>
      </c>
      <c r="H1339" s="5" t="s">
        <v>14</v>
      </c>
      <c r="I1339" s="5">
        <v>73.6</v>
      </c>
      <c r="J1339" s="5" t="s">
        <v>14</v>
      </c>
      <c r="K1339" s="7">
        <v>73.1</v>
      </c>
      <c r="L1339" s="8">
        <v>13</v>
      </c>
      <c r="M1339" s="9"/>
    </row>
    <row r="1340" s="1" customFormat="1" ht="20.1" customHeight="1" spans="1:13">
      <c r="A1340" s="4" t="str">
        <f>"37502022030117383224144"</f>
        <v>37502022030117383224144</v>
      </c>
      <c r="B1340" s="4" t="s">
        <v>1311</v>
      </c>
      <c r="C1340" s="4" t="s">
        <v>1324</v>
      </c>
      <c r="D1340" s="4" t="str">
        <f>"20220274507"</f>
        <v>20220274507</v>
      </c>
      <c r="E1340" s="4" t="str">
        <f t="shared" si="260"/>
        <v>45</v>
      </c>
      <c r="F1340" s="4" t="str">
        <f>"07"</f>
        <v>07</v>
      </c>
      <c r="G1340" s="5">
        <v>73.79</v>
      </c>
      <c r="H1340" s="5" t="s">
        <v>14</v>
      </c>
      <c r="I1340" s="5">
        <v>72.8</v>
      </c>
      <c r="J1340" s="5" t="s">
        <v>14</v>
      </c>
      <c r="K1340" s="7">
        <v>73.1</v>
      </c>
      <c r="L1340" s="8">
        <v>13</v>
      </c>
      <c r="M1340" s="9"/>
    </row>
    <row r="1341" s="1" customFormat="1" ht="20.1" customHeight="1" spans="1:13">
      <c r="A1341" s="4" t="str">
        <f>"37502022030119525924404"</f>
        <v>37502022030119525924404</v>
      </c>
      <c r="B1341" s="4" t="s">
        <v>1311</v>
      </c>
      <c r="C1341" s="4" t="s">
        <v>1325</v>
      </c>
      <c r="D1341" s="4" t="str">
        <f>"20220274510"</f>
        <v>20220274510</v>
      </c>
      <c r="E1341" s="4" t="str">
        <f t="shared" si="260"/>
        <v>45</v>
      </c>
      <c r="F1341" s="4" t="str">
        <f>"10"</f>
        <v>10</v>
      </c>
      <c r="G1341" s="5">
        <v>70.93</v>
      </c>
      <c r="H1341" s="5" t="s">
        <v>14</v>
      </c>
      <c r="I1341" s="5">
        <v>74</v>
      </c>
      <c r="J1341" s="5" t="s">
        <v>14</v>
      </c>
      <c r="K1341" s="7">
        <v>73.08</v>
      </c>
      <c r="L1341" s="8">
        <v>15</v>
      </c>
      <c r="M1341" s="9"/>
    </row>
    <row r="1342" s="1" customFormat="1" ht="20.1" customHeight="1" spans="1:13">
      <c r="A1342" s="4" t="str">
        <f>"37502022022613011319136"</f>
        <v>37502022022613011319136</v>
      </c>
      <c r="B1342" s="4" t="s">
        <v>1311</v>
      </c>
      <c r="C1342" s="4" t="s">
        <v>1326</v>
      </c>
      <c r="D1342" s="4" t="str">
        <f>"20220274527"</f>
        <v>20220274527</v>
      </c>
      <c r="E1342" s="4" t="str">
        <f t="shared" si="260"/>
        <v>45</v>
      </c>
      <c r="F1342" s="4" t="str">
        <f>"27"</f>
        <v>27</v>
      </c>
      <c r="G1342" s="5">
        <v>70.75</v>
      </c>
      <c r="H1342" s="5" t="s">
        <v>14</v>
      </c>
      <c r="I1342" s="5">
        <v>73.9</v>
      </c>
      <c r="J1342" s="5" t="s">
        <v>14</v>
      </c>
      <c r="K1342" s="7">
        <v>72.96</v>
      </c>
      <c r="L1342" s="8">
        <v>16</v>
      </c>
      <c r="M1342" s="9"/>
    </row>
    <row r="1343" s="1" customFormat="1" ht="20.1" customHeight="1" spans="1:13">
      <c r="A1343" s="4" t="str">
        <f>"37502022030112473323670"</f>
        <v>37502022030112473323670</v>
      </c>
      <c r="B1343" s="4" t="s">
        <v>1311</v>
      </c>
      <c r="C1343" s="4" t="s">
        <v>1327</v>
      </c>
      <c r="D1343" s="4" t="str">
        <f>"20220274612"</f>
        <v>20220274612</v>
      </c>
      <c r="E1343" s="4" t="str">
        <f t="shared" ref="E1343:E1348" si="261">"46"</f>
        <v>46</v>
      </c>
      <c r="F1343" s="4" t="str">
        <f>"12"</f>
        <v>12</v>
      </c>
      <c r="G1343" s="5">
        <v>70.32</v>
      </c>
      <c r="H1343" s="5" t="s">
        <v>14</v>
      </c>
      <c r="I1343" s="5">
        <v>74</v>
      </c>
      <c r="J1343" s="5" t="s">
        <v>14</v>
      </c>
      <c r="K1343" s="7">
        <v>72.9</v>
      </c>
      <c r="L1343" s="8">
        <v>17</v>
      </c>
      <c r="M1343" s="9"/>
    </row>
    <row r="1344" s="1" customFormat="1" ht="20.1" customHeight="1" spans="1:13">
      <c r="A1344" s="4" t="str">
        <f>"37502022022810534421698"</f>
        <v>37502022022810534421698</v>
      </c>
      <c r="B1344" s="4" t="s">
        <v>1311</v>
      </c>
      <c r="C1344" s="4" t="s">
        <v>1328</v>
      </c>
      <c r="D1344" s="4" t="str">
        <f>"20220274526"</f>
        <v>20220274526</v>
      </c>
      <c r="E1344" s="4" t="str">
        <f t="shared" ref="E1344:E1347" si="262">"45"</f>
        <v>45</v>
      </c>
      <c r="F1344" s="4" t="str">
        <f>"26"</f>
        <v>26</v>
      </c>
      <c r="G1344" s="5">
        <v>71.21</v>
      </c>
      <c r="H1344" s="5" t="s">
        <v>14</v>
      </c>
      <c r="I1344" s="5">
        <v>73.6</v>
      </c>
      <c r="J1344" s="5" t="s">
        <v>14</v>
      </c>
      <c r="K1344" s="7">
        <v>72.88</v>
      </c>
      <c r="L1344" s="8">
        <v>18</v>
      </c>
      <c r="M1344" s="9"/>
    </row>
    <row r="1345" s="1" customFormat="1" ht="20.1" customHeight="1" spans="1:13">
      <c r="A1345" s="4" t="str">
        <f>"37502022022716550820481"</f>
        <v>37502022022716550820481</v>
      </c>
      <c r="B1345" s="4" t="s">
        <v>1311</v>
      </c>
      <c r="C1345" s="4" t="s">
        <v>1329</v>
      </c>
      <c r="D1345" s="4" t="str">
        <f>"20220274614"</f>
        <v>20220274614</v>
      </c>
      <c r="E1345" s="4" t="str">
        <f t="shared" si="261"/>
        <v>46</v>
      </c>
      <c r="F1345" s="4" t="str">
        <f>"14"</f>
        <v>14</v>
      </c>
      <c r="G1345" s="5">
        <v>66.07</v>
      </c>
      <c r="H1345" s="5" t="s">
        <v>14</v>
      </c>
      <c r="I1345" s="5">
        <v>75.7</v>
      </c>
      <c r="J1345" s="5" t="s">
        <v>14</v>
      </c>
      <c r="K1345" s="7">
        <v>72.81</v>
      </c>
      <c r="L1345" s="8">
        <v>19</v>
      </c>
      <c r="M1345" s="9"/>
    </row>
    <row r="1346" s="1" customFormat="1" ht="20.1" customHeight="1" spans="1:13">
      <c r="A1346" s="4" t="str">
        <f>"37502022030121585924639"</f>
        <v>37502022030121585924639</v>
      </c>
      <c r="B1346" s="4" t="s">
        <v>1311</v>
      </c>
      <c r="C1346" s="4" t="s">
        <v>1330</v>
      </c>
      <c r="D1346" s="4" t="str">
        <f>"20220274523"</f>
        <v>20220274523</v>
      </c>
      <c r="E1346" s="4" t="str">
        <f t="shared" si="262"/>
        <v>45</v>
      </c>
      <c r="F1346" s="4" t="str">
        <f>"23"</f>
        <v>23</v>
      </c>
      <c r="G1346" s="5">
        <v>67.36</v>
      </c>
      <c r="H1346" s="5" t="s">
        <v>14</v>
      </c>
      <c r="I1346" s="5">
        <v>74.9</v>
      </c>
      <c r="J1346" s="5" t="s">
        <v>14</v>
      </c>
      <c r="K1346" s="7">
        <v>72.64</v>
      </c>
      <c r="L1346" s="8">
        <v>20</v>
      </c>
      <c r="M1346" s="9"/>
    </row>
    <row r="1347" s="1" customFormat="1" ht="20.1" customHeight="1" spans="1:13">
      <c r="A1347" s="4" t="str">
        <f>"37502022022608084818620"</f>
        <v>37502022022608084818620</v>
      </c>
      <c r="B1347" s="4" t="s">
        <v>1311</v>
      </c>
      <c r="C1347" s="4" t="s">
        <v>1331</v>
      </c>
      <c r="D1347" s="4" t="str">
        <f>"20220274506"</f>
        <v>20220274506</v>
      </c>
      <c r="E1347" s="4" t="str">
        <f t="shared" si="262"/>
        <v>45</v>
      </c>
      <c r="F1347" s="4" t="str">
        <f>"06"</f>
        <v>06</v>
      </c>
      <c r="G1347" s="5">
        <v>69.63</v>
      </c>
      <c r="H1347" s="5" t="s">
        <v>14</v>
      </c>
      <c r="I1347" s="5">
        <v>73.2</v>
      </c>
      <c r="J1347" s="5" t="s">
        <v>14</v>
      </c>
      <c r="K1347" s="7">
        <v>72.13</v>
      </c>
      <c r="L1347" s="8">
        <v>21</v>
      </c>
      <c r="M1347" s="9"/>
    </row>
    <row r="1348" s="1" customFormat="1" ht="20.1" customHeight="1" spans="1:13">
      <c r="A1348" s="4" t="str">
        <f>"37502022022817554722818"</f>
        <v>37502022022817554722818</v>
      </c>
      <c r="B1348" s="4" t="s">
        <v>1311</v>
      </c>
      <c r="C1348" s="4" t="s">
        <v>1332</v>
      </c>
      <c r="D1348" s="4" t="str">
        <f>"20220274615"</f>
        <v>20220274615</v>
      </c>
      <c r="E1348" s="4" t="str">
        <f t="shared" si="261"/>
        <v>46</v>
      </c>
      <c r="F1348" s="4" t="str">
        <f>"15"</f>
        <v>15</v>
      </c>
      <c r="G1348" s="5">
        <v>65.45</v>
      </c>
      <c r="H1348" s="5" t="s">
        <v>14</v>
      </c>
      <c r="I1348" s="5">
        <v>73.7</v>
      </c>
      <c r="J1348" s="5" t="s">
        <v>14</v>
      </c>
      <c r="K1348" s="7">
        <v>71.23</v>
      </c>
      <c r="L1348" s="8">
        <v>22</v>
      </c>
      <c r="M1348" s="9"/>
    </row>
    <row r="1349" s="1" customFormat="1" ht="20.1" customHeight="1" spans="1:13">
      <c r="A1349" s="4" t="str">
        <f>"37502022030209455824952"</f>
        <v>37502022030209455824952</v>
      </c>
      <c r="B1349" s="4" t="s">
        <v>1311</v>
      </c>
      <c r="C1349" s="4" t="s">
        <v>1333</v>
      </c>
      <c r="D1349" s="4" t="str">
        <f>"20220274522"</f>
        <v>20220274522</v>
      </c>
      <c r="E1349" s="4" t="str">
        <f t="shared" ref="E1349:E1354" si="263">"45"</f>
        <v>45</v>
      </c>
      <c r="F1349" s="4" t="str">
        <f>"22"</f>
        <v>22</v>
      </c>
      <c r="G1349" s="5">
        <v>63.15</v>
      </c>
      <c r="H1349" s="5" t="s">
        <v>14</v>
      </c>
      <c r="I1349" s="5">
        <v>72.3</v>
      </c>
      <c r="J1349" s="5" t="s">
        <v>14</v>
      </c>
      <c r="K1349" s="7">
        <v>69.56</v>
      </c>
      <c r="L1349" s="8">
        <v>23</v>
      </c>
      <c r="M1349" s="9"/>
    </row>
    <row r="1350" s="1" customFormat="1" ht="20.1" customHeight="1" spans="1:13">
      <c r="A1350" s="4" t="str">
        <f>"37502022022811545021853"</f>
        <v>37502022022811545021853</v>
      </c>
      <c r="B1350" s="4" t="s">
        <v>1311</v>
      </c>
      <c r="C1350" s="4" t="s">
        <v>1334</v>
      </c>
      <c r="D1350" s="4" t="str">
        <f>"20220274525"</f>
        <v>20220274525</v>
      </c>
      <c r="E1350" s="4" t="str">
        <f t="shared" si="263"/>
        <v>45</v>
      </c>
      <c r="F1350" s="4" t="str">
        <f>"25"</f>
        <v>25</v>
      </c>
      <c r="G1350" s="5">
        <v>68.6</v>
      </c>
      <c r="H1350" s="5" t="s">
        <v>14</v>
      </c>
      <c r="I1350" s="5">
        <v>69.7</v>
      </c>
      <c r="J1350" s="5" t="s">
        <v>14</v>
      </c>
      <c r="K1350" s="7">
        <v>69.37</v>
      </c>
      <c r="L1350" s="8">
        <v>24</v>
      </c>
      <c r="M1350" s="9"/>
    </row>
    <row r="1351" s="1" customFormat="1" ht="20.1" customHeight="1" spans="1:13">
      <c r="A1351" s="4" t="str">
        <f>"37502022022818575122866"</f>
        <v>37502022022818575122866</v>
      </c>
      <c r="B1351" s="4" t="s">
        <v>1311</v>
      </c>
      <c r="C1351" s="4" t="s">
        <v>1335</v>
      </c>
      <c r="D1351" s="4" t="str">
        <f>"20220274601"</f>
        <v>20220274601</v>
      </c>
      <c r="E1351" s="4" t="str">
        <f t="shared" ref="E1351:E1353" si="264">"46"</f>
        <v>46</v>
      </c>
      <c r="F1351" s="4" t="str">
        <f>"01"</f>
        <v>01</v>
      </c>
      <c r="G1351" s="5">
        <v>69.16</v>
      </c>
      <c r="H1351" s="5" t="s">
        <v>14</v>
      </c>
      <c r="I1351" s="5">
        <v>69.3</v>
      </c>
      <c r="J1351" s="5" t="s">
        <v>14</v>
      </c>
      <c r="K1351" s="7">
        <v>69.26</v>
      </c>
      <c r="L1351" s="8">
        <v>25</v>
      </c>
      <c r="M1351" s="9"/>
    </row>
    <row r="1352" s="1" customFormat="1" ht="20.1" customHeight="1" spans="1:13">
      <c r="A1352" s="4" t="str">
        <f>"37502022030208440624846"</f>
        <v>37502022030208440624846</v>
      </c>
      <c r="B1352" s="4" t="s">
        <v>1311</v>
      </c>
      <c r="C1352" s="4" t="s">
        <v>1336</v>
      </c>
      <c r="D1352" s="4" t="str">
        <f>"20220274611"</f>
        <v>20220274611</v>
      </c>
      <c r="E1352" s="4" t="str">
        <f t="shared" si="264"/>
        <v>46</v>
      </c>
      <c r="F1352" s="4" t="str">
        <f>"11"</f>
        <v>11</v>
      </c>
      <c r="G1352" s="5">
        <v>67.89</v>
      </c>
      <c r="H1352" s="5" t="s">
        <v>14</v>
      </c>
      <c r="I1352" s="5">
        <v>68.9</v>
      </c>
      <c r="J1352" s="5" t="s">
        <v>14</v>
      </c>
      <c r="K1352" s="7">
        <v>68.6</v>
      </c>
      <c r="L1352" s="8">
        <v>26</v>
      </c>
      <c r="M1352" s="9"/>
    </row>
    <row r="1353" s="1" customFormat="1" ht="20.1" customHeight="1" spans="1:13">
      <c r="A1353" s="4" t="str">
        <f>"37502022030120565524526"</f>
        <v>37502022030120565524526</v>
      </c>
      <c r="B1353" s="4" t="s">
        <v>1311</v>
      </c>
      <c r="C1353" s="4" t="s">
        <v>678</v>
      </c>
      <c r="D1353" s="4" t="str">
        <f>"20220274607"</f>
        <v>20220274607</v>
      </c>
      <c r="E1353" s="4" t="str">
        <f t="shared" si="264"/>
        <v>46</v>
      </c>
      <c r="F1353" s="4" t="str">
        <f>"07"</f>
        <v>07</v>
      </c>
      <c r="G1353" s="5">
        <v>62.23</v>
      </c>
      <c r="H1353" s="5" t="s">
        <v>14</v>
      </c>
      <c r="I1353" s="5">
        <v>71</v>
      </c>
      <c r="J1353" s="5" t="s">
        <v>14</v>
      </c>
      <c r="K1353" s="7">
        <v>68.37</v>
      </c>
      <c r="L1353" s="8">
        <v>27</v>
      </c>
      <c r="M1353" s="9"/>
    </row>
    <row r="1354" s="1" customFormat="1" ht="20.1" customHeight="1" spans="1:13">
      <c r="A1354" s="4" t="str">
        <f>"37502022022618523619522"</f>
        <v>37502022022618523619522</v>
      </c>
      <c r="B1354" s="4" t="s">
        <v>1311</v>
      </c>
      <c r="C1354" s="4" t="s">
        <v>1337</v>
      </c>
      <c r="D1354" s="4" t="str">
        <f>"20220274528"</f>
        <v>20220274528</v>
      </c>
      <c r="E1354" s="4" t="str">
        <f t="shared" si="263"/>
        <v>45</v>
      </c>
      <c r="F1354" s="4" t="str">
        <f>"28"</f>
        <v>28</v>
      </c>
      <c r="G1354" s="5">
        <v>66.95</v>
      </c>
      <c r="H1354" s="5" t="s">
        <v>14</v>
      </c>
      <c r="I1354" s="5">
        <v>67.9</v>
      </c>
      <c r="J1354" s="5" t="s">
        <v>14</v>
      </c>
      <c r="K1354" s="7">
        <v>67.62</v>
      </c>
      <c r="L1354" s="8">
        <v>28</v>
      </c>
      <c r="M1354" s="9"/>
    </row>
    <row r="1355" s="1" customFormat="1" ht="20.1" customHeight="1" spans="1:13">
      <c r="A1355" s="4" t="str">
        <f>"37502022030216004125509"</f>
        <v>37502022030216004125509</v>
      </c>
      <c r="B1355" s="4" t="s">
        <v>1311</v>
      </c>
      <c r="C1355" s="4" t="s">
        <v>1338</v>
      </c>
      <c r="D1355" s="4" t="str">
        <f>"20220274603"</f>
        <v>20220274603</v>
      </c>
      <c r="E1355" s="4" t="str">
        <f>"46"</f>
        <v>46</v>
      </c>
      <c r="F1355" s="4" t="str">
        <f>"03"</f>
        <v>03</v>
      </c>
      <c r="G1355" s="5">
        <v>56.3</v>
      </c>
      <c r="H1355" s="5" t="s">
        <v>14</v>
      </c>
      <c r="I1355" s="5">
        <v>72.3</v>
      </c>
      <c r="J1355" s="5" t="s">
        <v>14</v>
      </c>
      <c r="K1355" s="7">
        <v>67.5</v>
      </c>
      <c r="L1355" s="8">
        <v>29</v>
      </c>
      <c r="M1355" s="9"/>
    </row>
    <row r="1356" s="1" customFormat="1" ht="20.1" customHeight="1" spans="1:13">
      <c r="A1356" s="4" t="str">
        <f>"37502022030120473424507"</f>
        <v>37502022030120473424507</v>
      </c>
      <c r="B1356" s="4" t="s">
        <v>1311</v>
      </c>
      <c r="C1356" s="4" t="s">
        <v>1339</v>
      </c>
      <c r="D1356" s="4" t="str">
        <f>"20220274608"</f>
        <v>20220274608</v>
      </c>
      <c r="E1356" s="4" t="str">
        <f>"46"</f>
        <v>46</v>
      </c>
      <c r="F1356" s="4" t="str">
        <f>"08"</f>
        <v>08</v>
      </c>
      <c r="G1356" s="5">
        <v>69.73</v>
      </c>
      <c r="H1356" s="5" t="s">
        <v>14</v>
      </c>
      <c r="I1356" s="5">
        <v>58.7</v>
      </c>
      <c r="J1356" s="5" t="s">
        <v>14</v>
      </c>
      <c r="K1356" s="7">
        <v>62.01</v>
      </c>
      <c r="L1356" s="8">
        <v>30</v>
      </c>
      <c r="M1356" s="9"/>
    </row>
    <row r="1357" s="1" customFormat="1" ht="20.1" customHeight="1" spans="1:13">
      <c r="A1357" s="4" t="str">
        <f>"37502022022819062722874"</f>
        <v>37502022022819062722874</v>
      </c>
      <c r="B1357" s="4" t="s">
        <v>1311</v>
      </c>
      <c r="C1357" s="4" t="s">
        <v>1340</v>
      </c>
      <c r="D1357" s="4" t="str">
        <f>"20220274513"</f>
        <v>20220274513</v>
      </c>
      <c r="E1357" s="4" t="str">
        <f t="shared" ref="E1357:E1360" si="265">"45"</f>
        <v>45</v>
      </c>
      <c r="F1357" s="4" t="str">
        <f>"13"</f>
        <v>13</v>
      </c>
      <c r="G1357" s="5">
        <v>51.54</v>
      </c>
      <c r="H1357" s="5" t="s">
        <v>14</v>
      </c>
      <c r="I1357" s="5">
        <v>56.9</v>
      </c>
      <c r="J1357" s="5" t="s">
        <v>14</v>
      </c>
      <c r="K1357" s="7">
        <v>55.29</v>
      </c>
      <c r="L1357" s="8">
        <v>31</v>
      </c>
      <c r="M1357" s="9"/>
    </row>
    <row r="1358" s="1" customFormat="1" ht="20.1" customHeight="1" spans="1:13">
      <c r="A1358" s="4" t="str">
        <f>"37502022022622051519735"</f>
        <v>37502022022622051519735</v>
      </c>
      <c r="B1358" s="4" t="s">
        <v>1311</v>
      </c>
      <c r="C1358" s="4" t="s">
        <v>1341</v>
      </c>
      <c r="D1358" s="4" t="str">
        <f>"20220274511"</f>
        <v>20220274511</v>
      </c>
      <c r="E1358" s="4" t="str">
        <f t="shared" si="265"/>
        <v>45</v>
      </c>
      <c r="F1358" s="4" t="str">
        <f>"11"</f>
        <v>11</v>
      </c>
      <c r="G1358" s="5">
        <v>0</v>
      </c>
      <c r="H1358" s="5" t="s">
        <v>74</v>
      </c>
      <c r="I1358" s="5">
        <v>0</v>
      </c>
      <c r="J1358" s="5" t="s">
        <v>74</v>
      </c>
      <c r="K1358" s="7">
        <v>0</v>
      </c>
      <c r="L1358" s="8">
        <v>32</v>
      </c>
      <c r="M1358" s="9"/>
    </row>
    <row r="1359" s="1" customFormat="1" ht="20.1" customHeight="1" spans="1:13">
      <c r="A1359" s="4" t="str">
        <f>"37502022022719060520633"</f>
        <v>37502022022719060520633</v>
      </c>
      <c r="B1359" s="4" t="s">
        <v>1311</v>
      </c>
      <c r="C1359" s="4" t="s">
        <v>572</v>
      </c>
      <c r="D1359" s="4" t="str">
        <f>"20220274521"</f>
        <v>20220274521</v>
      </c>
      <c r="E1359" s="4" t="str">
        <f t="shared" si="265"/>
        <v>45</v>
      </c>
      <c r="F1359" s="4" t="str">
        <f>"21"</f>
        <v>21</v>
      </c>
      <c r="G1359" s="5">
        <v>0</v>
      </c>
      <c r="H1359" s="5" t="s">
        <v>74</v>
      </c>
      <c r="I1359" s="5">
        <v>0</v>
      </c>
      <c r="J1359" s="5" t="s">
        <v>74</v>
      </c>
      <c r="K1359" s="7">
        <v>0</v>
      </c>
      <c r="L1359" s="8">
        <v>32</v>
      </c>
      <c r="M1359" s="9"/>
    </row>
    <row r="1360" s="1" customFormat="1" ht="20.1" customHeight="1" spans="1:13">
      <c r="A1360" s="4" t="str">
        <f>"37502022022814053222203"</f>
        <v>37502022022814053222203</v>
      </c>
      <c r="B1360" s="4" t="s">
        <v>1311</v>
      </c>
      <c r="C1360" s="4" t="s">
        <v>1342</v>
      </c>
      <c r="D1360" s="4" t="str">
        <f>"20220274512"</f>
        <v>20220274512</v>
      </c>
      <c r="E1360" s="4" t="str">
        <f t="shared" si="265"/>
        <v>45</v>
      </c>
      <c r="F1360" s="4" t="str">
        <f>"12"</f>
        <v>12</v>
      </c>
      <c r="G1360" s="5">
        <v>0</v>
      </c>
      <c r="H1360" s="5" t="s">
        <v>74</v>
      </c>
      <c r="I1360" s="5">
        <v>0</v>
      </c>
      <c r="J1360" s="5" t="s">
        <v>74</v>
      </c>
      <c r="K1360" s="7">
        <v>0</v>
      </c>
      <c r="L1360" s="8">
        <v>32</v>
      </c>
      <c r="M1360" s="9"/>
    </row>
    <row r="1361" s="1" customFormat="1" ht="20.1" customHeight="1" spans="1:13">
      <c r="A1361" s="4" t="str">
        <f>"37502022022817202522783"</f>
        <v>37502022022817202522783</v>
      </c>
      <c r="B1361" s="4" t="s">
        <v>1311</v>
      </c>
      <c r="C1361" s="4" t="s">
        <v>1343</v>
      </c>
      <c r="D1361" s="4" t="str">
        <f>"20220274613"</f>
        <v>20220274613</v>
      </c>
      <c r="E1361" s="4" t="str">
        <f>"46"</f>
        <v>46</v>
      </c>
      <c r="F1361" s="4" t="str">
        <f>"13"</f>
        <v>13</v>
      </c>
      <c r="G1361" s="5">
        <v>0</v>
      </c>
      <c r="H1361" s="5" t="s">
        <v>74</v>
      </c>
      <c r="I1361" s="5">
        <v>0</v>
      </c>
      <c r="J1361" s="5" t="s">
        <v>74</v>
      </c>
      <c r="K1361" s="7">
        <v>0</v>
      </c>
      <c r="L1361" s="8">
        <v>32</v>
      </c>
      <c r="M1361" s="9"/>
    </row>
    <row r="1362" s="1" customFormat="1" ht="20.1" customHeight="1" spans="1:13">
      <c r="A1362" s="4" t="str">
        <f>"37502022030113233523749"</f>
        <v>37502022030113233523749</v>
      </c>
      <c r="B1362" s="4" t="s">
        <v>1311</v>
      </c>
      <c r="C1362" s="4" t="s">
        <v>1344</v>
      </c>
      <c r="D1362" s="4" t="str">
        <f>"20220274509"</f>
        <v>20220274509</v>
      </c>
      <c r="E1362" s="4" t="str">
        <f t="shared" ref="E1362:E1365" si="266">"45"</f>
        <v>45</v>
      </c>
      <c r="F1362" s="4" t="str">
        <f>"09"</f>
        <v>09</v>
      </c>
      <c r="G1362" s="5">
        <v>0</v>
      </c>
      <c r="H1362" s="5" t="s">
        <v>74</v>
      </c>
      <c r="I1362" s="5">
        <v>0</v>
      </c>
      <c r="J1362" s="5" t="s">
        <v>74</v>
      </c>
      <c r="K1362" s="7">
        <v>0</v>
      </c>
      <c r="L1362" s="8">
        <v>32</v>
      </c>
      <c r="M1362" s="9"/>
    </row>
    <row r="1363" s="1" customFormat="1" ht="20.1" customHeight="1" spans="1:13">
      <c r="A1363" s="4" t="str">
        <f>"37502022030114044023803"</f>
        <v>37502022030114044023803</v>
      </c>
      <c r="B1363" s="4" t="s">
        <v>1311</v>
      </c>
      <c r="C1363" s="4" t="s">
        <v>1345</v>
      </c>
      <c r="D1363" s="4" t="str">
        <f>"20220274518"</f>
        <v>20220274518</v>
      </c>
      <c r="E1363" s="4" t="str">
        <f t="shared" si="266"/>
        <v>45</v>
      </c>
      <c r="F1363" s="4" t="str">
        <f>"18"</f>
        <v>18</v>
      </c>
      <c r="G1363" s="5">
        <v>0</v>
      </c>
      <c r="H1363" s="5" t="s">
        <v>74</v>
      </c>
      <c r="I1363" s="5">
        <v>0</v>
      </c>
      <c r="J1363" s="5" t="s">
        <v>74</v>
      </c>
      <c r="K1363" s="7">
        <v>0</v>
      </c>
      <c r="L1363" s="8">
        <v>32</v>
      </c>
      <c r="M1363" s="9"/>
    </row>
    <row r="1364" s="1" customFormat="1" ht="20.1" customHeight="1" spans="1:13">
      <c r="A1364" s="4" t="str">
        <f>"37502022030120544924521"</f>
        <v>37502022030120544924521</v>
      </c>
      <c r="B1364" s="4" t="s">
        <v>1311</v>
      </c>
      <c r="C1364" s="4" t="s">
        <v>1346</v>
      </c>
      <c r="D1364" s="4" t="str">
        <f>"20220274519"</f>
        <v>20220274519</v>
      </c>
      <c r="E1364" s="4" t="str">
        <f t="shared" si="266"/>
        <v>45</v>
      </c>
      <c r="F1364" s="4" t="str">
        <f>"19"</f>
        <v>19</v>
      </c>
      <c r="G1364" s="5">
        <v>0</v>
      </c>
      <c r="H1364" s="5" t="s">
        <v>74</v>
      </c>
      <c r="I1364" s="5">
        <v>0</v>
      </c>
      <c r="J1364" s="5" t="s">
        <v>74</v>
      </c>
      <c r="K1364" s="7">
        <v>0</v>
      </c>
      <c r="L1364" s="8">
        <v>32</v>
      </c>
      <c r="M1364" s="9"/>
    </row>
    <row r="1365" s="1" customFormat="1" ht="20.1" customHeight="1" spans="1:13">
      <c r="A1365" s="4" t="str">
        <f>"37502022030213143825282"</f>
        <v>37502022030213143825282</v>
      </c>
      <c r="B1365" s="4" t="s">
        <v>1311</v>
      </c>
      <c r="C1365" s="4" t="s">
        <v>1347</v>
      </c>
      <c r="D1365" s="4" t="str">
        <f>"20220274515"</f>
        <v>20220274515</v>
      </c>
      <c r="E1365" s="4" t="str">
        <f t="shared" si="266"/>
        <v>45</v>
      </c>
      <c r="F1365" s="4" t="str">
        <f>"15"</f>
        <v>15</v>
      </c>
      <c r="G1365" s="5">
        <v>0</v>
      </c>
      <c r="H1365" s="5" t="s">
        <v>74</v>
      </c>
      <c r="I1365" s="5">
        <v>0</v>
      </c>
      <c r="J1365" s="5" t="s">
        <v>74</v>
      </c>
      <c r="K1365" s="7">
        <v>0</v>
      </c>
      <c r="L1365" s="8">
        <v>32</v>
      </c>
      <c r="M1365" s="9"/>
    </row>
    <row r="1366" s="1" customFormat="1" ht="20.1" customHeight="1" spans="1:13">
      <c r="A1366" s="4" t="str">
        <f>"37502022030215133625456"</f>
        <v>37502022030215133625456</v>
      </c>
      <c r="B1366" s="4" t="s">
        <v>1311</v>
      </c>
      <c r="C1366" s="4" t="s">
        <v>1348</v>
      </c>
      <c r="D1366" s="4" t="str">
        <f>"20220274609"</f>
        <v>20220274609</v>
      </c>
      <c r="E1366" s="4" t="str">
        <f>"46"</f>
        <v>46</v>
      </c>
      <c r="F1366" s="4" t="str">
        <f>"09"</f>
        <v>09</v>
      </c>
      <c r="G1366" s="5">
        <v>0</v>
      </c>
      <c r="H1366" s="5" t="s">
        <v>74</v>
      </c>
      <c r="I1366" s="5">
        <v>0</v>
      </c>
      <c r="J1366" s="5" t="s">
        <v>74</v>
      </c>
      <c r="K1366" s="7">
        <v>0</v>
      </c>
      <c r="L1366" s="8">
        <v>32</v>
      </c>
      <c r="M1366" s="9"/>
    </row>
    <row r="1367" s="1" customFormat="1" ht="20.1" customHeight="1" spans="1:13">
      <c r="A1367" s="4" t="str">
        <f>"37502022030220030725867"</f>
        <v>37502022030220030725867</v>
      </c>
      <c r="B1367" s="4" t="s">
        <v>1311</v>
      </c>
      <c r="C1367" s="4" t="s">
        <v>1098</v>
      </c>
      <c r="D1367" s="4" t="str">
        <f>"20220274529"</f>
        <v>20220274529</v>
      </c>
      <c r="E1367" s="4" t="str">
        <f>"45"</f>
        <v>45</v>
      </c>
      <c r="F1367" s="4" t="str">
        <f>"29"</f>
        <v>29</v>
      </c>
      <c r="G1367" s="5">
        <v>0</v>
      </c>
      <c r="H1367" s="5" t="s">
        <v>74</v>
      </c>
      <c r="I1367" s="5">
        <v>0</v>
      </c>
      <c r="J1367" s="5" t="s">
        <v>74</v>
      </c>
      <c r="K1367" s="7">
        <v>0</v>
      </c>
      <c r="L1367" s="8">
        <v>32</v>
      </c>
      <c r="M1367" s="9"/>
    </row>
    <row r="1368" s="1" customFormat="1" ht="20.1" customHeight="1" spans="1:13">
      <c r="A1368" s="4" t="str">
        <f>"37502022022807584321279"</f>
        <v>37502022022807584321279</v>
      </c>
      <c r="B1368" s="4" t="s">
        <v>1349</v>
      </c>
      <c r="C1368" s="4" t="s">
        <v>1322</v>
      </c>
      <c r="D1368" s="4" t="str">
        <f>"20220284719"</f>
        <v>20220284719</v>
      </c>
      <c r="E1368" s="4" t="str">
        <f t="shared" ref="E1368:E1372" si="267">"47"</f>
        <v>47</v>
      </c>
      <c r="F1368" s="4" t="str">
        <f>"19"</f>
        <v>19</v>
      </c>
      <c r="G1368" s="5">
        <v>74.56</v>
      </c>
      <c r="H1368" s="5" t="s">
        <v>14</v>
      </c>
      <c r="I1368" s="5">
        <v>81</v>
      </c>
      <c r="J1368" s="5" t="s">
        <v>14</v>
      </c>
      <c r="K1368" s="7">
        <v>79.07</v>
      </c>
      <c r="L1368" s="8">
        <v>1</v>
      </c>
      <c r="M1368" s="9"/>
    </row>
    <row r="1369" s="1" customFormat="1" ht="20.1" customHeight="1" spans="1:13">
      <c r="A1369" s="4" t="str">
        <f>"37502022030119161524330"</f>
        <v>37502022030119161524330</v>
      </c>
      <c r="B1369" s="4" t="s">
        <v>1349</v>
      </c>
      <c r="C1369" s="4" t="s">
        <v>1350</v>
      </c>
      <c r="D1369" s="4" t="str">
        <f>"20220284720"</f>
        <v>20220284720</v>
      </c>
      <c r="E1369" s="4" t="str">
        <f t="shared" si="267"/>
        <v>47</v>
      </c>
      <c r="F1369" s="4" t="str">
        <f>"20"</f>
        <v>20</v>
      </c>
      <c r="G1369" s="5">
        <v>76.5</v>
      </c>
      <c r="H1369" s="5" t="s">
        <v>14</v>
      </c>
      <c r="I1369" s="5">
        <v>78</v>
      </c>
      <c r="J1369" s="5" t="s">
        <v>14</v>
      </c>
      <c r="K1369" s="7">
        <v>77.55</v>
      </c>
      <c r="L1369" s="8">
        <v>2</v>
      </c>
      <c r="M1369" s="9"/>
    </row>
    <row r="1370" s="1" customFormat="1" ht="20.1" customHeight="1" spans="1:13">
      <c r="A1370" s="4" t="str">
        <f>"37502022030121443124618"</f>
        <v>37502022030121443124618</v>
      </c>
      <c r="B1370" s="4" t="s">
        <v>1349</v>
      </c>
      <c r="C1370" s="4" t="s">
        <v>1351</v>
      </c>
      <c r="D1370" s="4" t="str">
        <f>"20220284704"</f>
        <v>20220284704</v>
      </c>
      <c r="E1370" s="4" t="str">
        <f t="shared" si="267"/>
        <v>47</v>
      </c>
      <c r="F1370" s="4" t="str">
        <f>"04"</f>
        <v>04</v>
      </c>
      <c r="G1370" s="5">
        <v>70.81</v>
      </c>
      <c r="H1370" s="5" t="s">
        <v>14</v>
      </c>
      <c r="I1370" s="5">
        <v>79.1</v>
      </c>
      <c r="J1370" s="5" t="s">
        <v>14</v>
      </c>
      <c r="K1370" s="7">
        <v>76.61</v>
      </c>
      <c r="L1370" s="8">
        <v>3</v>
      </c>
      <c r="M1370" s="9"/>
    </row>
    <row r="1371" s="1" customFormat="1" ht="20.1" customHeight="1" spans="1:13">
      <c r="A1371" s="4" t="str">
        <f>"37502022022819471922913"</f>
        <v>37502022022819471922913</v>
      </c>
      <c r="B1371" s="4" t="s">
        <v>1349</v>
      </c>
      <c r="C1371" s="4" t="s">
        <v>1352</v>
      </c>
      <c r="D1371" s="4" t="str">
        <f>"20220284727"</f>
        <v>20220284727</v>
      </c>
      <c r="E1371" s="4" t="str">
        <f t="shared" si="267"/>
        <v>47</v>
      </c>
      <c r="F1371" s="4" t="str">
        <f>"27"</f>
        <v>27</v>
      </c>
      <c r="G1371" s="5">
        <v>74.12</v>
      </c>
      <c r="H1371" s="5" t="s">
        <v>14</v>
      </c>
      <c r="I1371" s="5">
        <v>76.8</v>
      </c>
      <c r="J1371" s="5" t="s">
        <v>14</v>
      </c>
      <c r="K1371" s="7">
        <v>76</v>
      </c>
      <c r="L1371" s="8">
        <v>4</v>
      </c>
      <c r="M1371" s="9"/>
    </row>
    <row r="1372" s="1" customFormat="1" ht="20.1" customHeight="1" spans="1:13">
      <c r="A1372" s="4" t="str">
        <f>"37502022030207163524792"</f>
        <v>37502022030207163524792</v>
      </c>
      <c r="B1372" s="4" t="s">
        <v>1349</v>
      </c>
      <c r="C1372" s="4" t="s">
        <v>1353</v>
      </c>
      <c r="D1372" s="4" t="str">
        <f>"20220284712"</f>
        <v>20220284712</v>
      </c>
      <c r="E1372" s="4" t="str">
        <f t="shared" si="267"/>
        <v>47</v>
      </c>
      <c r="F1372" s="4" t="str">
        <f>"12"</f>
        <v>12</v>
      </c>
      <c r="G1372" s="5">
        <v>75.76</v>
      </c>
      <c r="H1372" s="5" t="s">
        <v>14</v>
      </c>
      <c r="I1372" s="5">
        <v>75.4</v>
      </c>
      <c r="J1372" s="5" t="s">
        <v>14</v>
      </c>
      <c r="K1372" s="7">
        <v>75.51</v>
      </c>
      <c r="L1372" s="8">
        <v>5</v>
      </c>
      <c r="M1372" s="9"/>
    </row>
    <row r="1373" s="1" customFormat="1" ht="20.1" customHeight="1" spans="1:13">
      <c r="A1373" s="4" t="str">
        <f>"37502022022610085118836"</f>
        <v>37502022022610085118836</v>
      </c>
      <c r="B1373" s="4" t="s">
        <v>1349</v>
      </c>
      <c r="C1373" s="4" t="s">
        <v>1354</v>
      </c>
      <c r="D1373" s="4" t="str">
        <f>"20220284630"</f>
        <v>20220284630</v>
      </c>
      <c r="E1373" s="4" t="str">
        <f t="shared" ref="E1373:E1377" si="268">"46"</f>
        <v>46</v>
      </c>
      <c r="F1373" s="4" t="str">
        <f>"30"</f>
        <v>30</v>
      </c>
      <c r="G1373" s="5">
        <v>77.92</v>
      </c>
      <c r="H1373" s="5" t="s">
        <v>14</v>
      </c>
      <c r="I1373" s="5">
        <v>73.8</v>
      </c>
      <c r="J1373" s="5" t="s">
        <v>14</v>
      </c>
      <c r="K1373" s="7">
        <v>75.04</v>
      </c>
      <c r="L1373" s="8">
        <v>6</v>
      </c>
      <c r="M1373" s="9"/>
    </row>
    <row r="1374" s="1" customFormat="1" ht="20.1" customHeight="1" spans="1:13">
      <c r="A1374" s="4" t="str">
        <f>"37502022030113055423708"</f>
        <v>37502022030113055423708</v>
      </c>
      <c r="B1374" s="4" t="s">
        <v>1349</v>
      </c>
      <c r="C1374" s="4" t="s">
        <v>1355</v>
      </c>
      <c r="D1374" s="4" t="str">
        <f>"20220284706"</f>
        <v>20220284706</v>
      </c>
      <c r="E1374" s="4" t="str">
        <f t="shared" ref="E1374:E1378" si="269">"47"</f>
        <v>47</v>
      </c>
      <c r="F1374" s="4" t="str">
        <f>"06"</f>
        <v>06</v>
      </c>
      <c r="G1374" s="5">
        <v>72.13</v>
      </c>
      <c r="H1374" s="5" t="s">
        <v>14</v>
      </c>
      <c r="I1374" s="5">
        <v>75.7</v>
      </c>
      <c r="J1374" s="5" t="s">
        <v>14</v>
      </c>
      <c r="K1374" s="7">
        <v>74.63</v>
      </c>
      <c r="L1374" s="8">
        <v>7</v>
      </c>
      <c r="M1374" s="9"/>
    </row>
    <row r="1375" s="1" customFormat="1" ht="20.1" customHeight="1" spans="1:13">
      <c r="A1375" s="4" t="str">
        <f>"37502022030118324024239"</f>
        <v>37502022030118324024239</v>
      </c>
      <c r="B1375" s="4" t="s">
        <v>1349</v>
      </c>
      <c r="C1375" s="4" t="s">
        <v>1356</v>
      </c>
      <c r="D1375" s="4" t="str">
        <f>"20220284627"</f>
        <v>20220284627</v>
      </c>
      <c r="E1375" s="4" t="str">
        <f t="shared" si="268"/>
        <v>46</v>
      </c>
      <c r="F1375" s="4" t="str">
        <f>"27"</f>
        <v>27</v>
      </c>
      <c r="G1375" s="5">
        <v>68.15</v>
      </c>
      <c r="H1375" s="5" t="s">
        <v>14</v>
      </c>
      <c r="I1375" s="5">
        <v>77.4</v>
      </c>
      <c r="J1375" s="5" t="s">
        <v>14</v>
      </c>
      <c r="K1375" s="7">
        <v>74.63</v>
      </c>
      <c r="L1375" s="8">
        <v>7</v>
      </c>
      <c r="M1375" s="9"/>
    </row>
    <row r="1376" s="1" customFormat="1" ht="20.1" customHeight="1" spans="1:13">
      <c r="A1376" s="4" t="str">
        <f>"37502022022819154522881"</f>
        <v>37502022022819154522881</v>
      </c>
      <c r="B1376" s="4" t="s">
        <v>1349</v>
      </c>
      <c r="C1376" s="4" t="s">
        <v>1357</v>
      </c>
      <c r="D1376" s="4" t="str">
        <f>"20220284707"</f>
        <v>20220284707</v>
      </c>
      <c r="E1376" s="4" t="str">
        <f t="shared" si="269"/>
        <v>47</v>
      </c>
      <c r="F1376" s="4" t="str">
        <f>"07"</f>
        <v>07</v>
      </c>
      <c r="G1376" s="5">
        <v>72.53</v>
      </c>
      <c r="H1376" s="5" t="s">
        <v>14</v>
      </c>
      <c r="I1376" s="5">
        <v>74.2</v>
      </c>
      <c r="J1376" s="5" t="s">
        <v>14</v>
      </c>
      <c r="K1376" s="7">
        <v>73.7</v>
      </c>
      <c r="L1376" s="8">
        <v>9</v>
      </c>
      <c r="M1376" s="9"/>
    </row>
    <row r="1377" s="1" customFormat="1" ht="20.1" customHeight="1" spans="1:13">
      <c r="A1377" s="4" t="str">
        <f>"37502022030123074624728"</f>
        <v>37502022030123074624728</v>
      </c>
      <c r="B1377" s="4" t="s">
        <v>1349</v>
      </c>
      <c r="C1377" s="4" t="s">
        <v>1358</v>
      </c>
      <c r="D1377" s="4" t="str">
        <f>"20220284617"</f>
        <v>20220284617</v>
      </c>
      <c r="E1377" s="4" t="str">
        <f t="shared" si="268"/>
        <v>46</v>
      </c>
      <c r="F1377" s="4" t="str">
        <f>"17"</f>
        <v>17</v>
      </c>
      <c r="G1377" s="5">
        <v>70.15</v>
      </c>
      <c r="H1377" s="5" t="s">
        <v>14</v>
      </c>
      <c r="I1377" s="5">
        <v>74.7</v>
      </c>
      <c r="J1377" s="5" t="s">
        <v>14</v>
      </c>
      <c r="K1377" s="7">
        <v>73.34</v>
      </c>
      <c r="L1377" s="8">
        <v>10</v>
      </c>
      <c r="M1377" s="9"/>
    </row>
    <row r="1378" s="1" customFormat="1" ht="20.1" customHeight="1" spans="1:13">
      <c r="A1378" s="4" t="str">
        <f>"37502022022620341419624"</f>
        <v>37502022022620341419624</v>
      </c>
      <c r="B1378" s="4" t="s">
        <v>1349</v>
      </c>
      <c r="C1378" s="4" t="s">
        <v>1359</v>
      </c>
      <c r="D1378" s="4" t="str">
        <f>"20220284705"</f>
        <v>20220284705</v>
      </c>
      <c r="E1378" s="4" t="str">
        <f t="shared" si="269"/>
        <v>47</v>
      </c>
      <c r="F1378" s="4" t="str">
        <f>"05"</f>
        <v>05</v>
      </c>
      <c r="G1378" s="5">
        <v>72.63</v>
      </c>
      <c r="H1378" s="5" t="s">
        <v>14</v>
      </c>
      <c r="I1378" s="5">
        <v>73.3</v>
      </c>
      <c r="J1378" s="5" t="s">
        <v>14</v>
      </c>
      <c r="K1378" s="7">
        <v>73.1</v>
      </c>
      <c r="L1378" s="8">
        <v>11</v>
      </c>
      <c r="M1378" s="9"/>
    </row>
    <row r="1379" s="1" customFormat="1" ht="20.1" customHeight="1" spans="1:13">
      <c r="A1379" s="4" t="str">
        <f>"37502022030110472323439"</f>
        <v>37502022030110472323439</v>
      </c>
      <c r="B1379" s="4" t="s">
        <v>1349</v>
      </c>
      <c r="C1379" s="4" t="s">
        <v>1360</v>
      </c>
      <c r="D1379" s="4" t="str">
        <f>"20220284626"</f>
        <v>20220284626</v>
      </c>
      <c r="E1379" s="4" t="str">
        <f>"46"</f>
        <v>46</v>
      </c>
      <c r="F1379" s="4" t="str">
        <f>"26"</f>
        <v>26</v>
      </c>
      <c r="G1379" s="5">
        <v>61.77</v>
      </c>
      <c r="H1379" s="5" t="s">
        <v>14</v>
      </c>
      <c r="I1379" s="5">
        <v>77.5</v>
      </c>
      <c r="J1379" s="5" t="s">
        <v>14</v>
      </c>
      <c r="K1379" s="7">
        <v>72.78</v>
      </c>
      <c r="L1379" s="8">
        <v>12</v>
      </c>
      <c r="M1379" s="9"/>
    </row>
    <row r="1380" s="1" customFormat="1" ht="20.1" customHeight="1" spans="1:13">
      <c r="A1380" s="4" t="str">
        <f>"37502022030111172623512"</f>
        <v>37502022030111172623512</v>
      </c>
      <c r="B1380" s="4" t="s">
        <v>1349</v>
      </c>
      <c r="C1380" s="4" t="s">
        <v>1361</v>
      </c>
      <c r="D1380" s="4" t="str">
        <f>"20220284726"</f>
        <v>20220284726</v>
      </c>
      <c r="E1380" s="4" t="str">
        <f t="shared" ref="E1380:E1385" si="270">"47"</f>
        <v>47</v>
      </c>
      <c r="F1380" s="4" t="str">
        <f>"26"</f>
        <v>26</v>
      </c>
      <c r="G1380" s="5">
        <v>71.73</v>
      </c>
      <c r="H1380" s="5" t="s">
        <v>14</v>
      </c>
      <c r="I1380" s="5">
        <v>72.4</v>
      </c>
      <c r="J1380" s="5" t="s">
        <v>14</v>
      </c>
      <c r="K1380" s="7">
        <v>72.2</v>
      </c>
      <c r="L1380" s="8">
        <v>13</v>
      </c>
      <c r="M1380" s="9"/>
    </row>
    <row r="1381" s="1" customFormat="1" ht="20.1" customHeight="1" spans="1:13">
      <c r="A1381" s="4" t="str">
        <f>"37502022030221255326015"</f>
        <v>37502022030221255326015</v>
      </c>
      <c r="B1381" s="4" t="s">
        <v>1349</v>
      </c>
      <c r="C1381" s="4" t="s">
        <v>1362</v>
      </c>
      <c r="D1381" s="4" t="str">
        <f>"20220284722"</f>
        <v>20220284722</v>
      </c>
      <c r="E1381" s="4" t="str">
        <f t="shared" si="270"/>
        <v>47</v>
      </c>
      <c r="F1381" s="4" t="str">
        <f>"22"</f>
        <v>22</v>
      </c>
      <c r="G1381" s="5">
        <v>65.85</v>
      </c>
      <c r="H1381" s="5" t="s">
        <v>14</v>
      </c>
      <c r="I1381" s="5">
        <v>74.8</v>
      </c>
      <c r="J1381" s="5" t="s">
        <v>14</v>
      </c>
      <c r="K1381" s="7">
        <v>72.12</v>
      </c>
      <c r="L1381" s="8">
        <v>14</v>
      </c>
      <c r="M1381" s="9"/>
    </row>
    <row r="1382" s="1" customFormat="1" ht="20.1" customHeight="1" spans="1:13">
      <c r="A1382" s="4" t="str">
        <f>"37502022030111211423521"</f>
        <v>37502022030111211423521</v>
      </c>
      <c r="B1382" s="4" t="s">
        <v>1349</v>
      </c>
      <c r="C1382" s="4" t="s">
        <v>1363</v>
      </c>
      <c r="D1382" s="4" t="str">
        <f>"20220284710"</f>
        <v>20220284710</v>
      </c>
      <c r="E1382" s="4" t="str">
        <f t="shared" si="270"/>
        <v>47</v>
      </c>
      <c r="F1382" s="4" t="str">
        <f>"10"</f>
        <v>10</v>
      </c>
      <c r="G1382" s="5">
        <v>67.34</v>
      </c>
      <c r="H1382" s="5" t="s">
        <v>14</v>
      </c>
      <c r="I1382" s="5">
        <v>74</v>
      </c>
      <c r="J1382" s="5" t="s">
        <v>14</v>
      </c>
      <c r="K1382" s="7">
        <v>72</v>
      </c>
      <c r="L1382" s="8">
        <v>15</v>
      </c>
      <c r="M1382" s="9"/>
    </row>
    <row r="1383" s="1" customFormat="1" ht="20.1" customHeight="1" spans="1:13">
      <c r="A1383" s="4" t="str">
        <f>"37502022022610002018812"</f>
        <v>37502022022610002018812</v>
      </c>
      <c r="B1383" s="4" t="s">
        <v>1349</v>
      </c>
      <c r="C1383" s="4" t="s">
        <v>1364</v>
      </c>
      <c r="D1383" s="4" t="str">
        <f>"20220284701"</f>
        <v>20220284701</v>
      </c>
      <c r="E1383" s="4" t="str">
        <f t="shared" si="270"/>
        <v>47</v>
      </c>
      <c r="F1383" s="4" t="str">
        <f>"01"</f>
        <v>01</v>
      </c>
      <c r="G1383" s="5">
        <v>72.37</v>
      </c>
      <c r="H1383" s="5" t="s">
        <v>14</v>
      </c>
      <c r="I1383" s="5">
        <v>70.9</v>
      </c>
      <c r="J1383" s="5" t="s">
        <v>14</v>
      </c>
      <c r="K1383" s="7">
        <v>71.34</v>
      </c>
      <c r="L1383" s="8">
        <v>16</v>
      </c>
      <c r="M1383" s="9"/>
    </row>
    <row r="1384" s="1" customFormat="1" ht="20.1" customHeight="1" spans="1:13">
      <c r="A1384" s="4" t="str">
        <f>"37502022030120120424426"</f>
        <v>37502022030120120424426</v>
      </c>
      <c r="B1384" s="4" t="s">
        <v>1349</v>
      </c>
      <c r="C1384" s="4" t="s">
        <v>1365</v>
      </c>
      <c r="D1384" s="4" t="str">
        <f>"20220284718"</f>
        <v>20220284718</v>
      </c>
      <c r="E1384" s="4" t="str">
        <f t="shared" si="270"/>
        <v>47</v>
      </c>
      <c r="F1384" s="4" t="str">
        <f>"18"</f>
        <v>18</v>
      </c>
      <c r="G1384" s="5">
        <v>69.67</v>
      </c>
      <c r="H1384" s="5" t="s">
        <v>14</v>
      </c>
      <c r="I1384" s="5">
        <v>71.6</v>
      </c>
      <c r="J1384" s="5" t="s">
        <v>14</v>
      </c>
      <c r="K1384" s="7">
        <v>71.02</v>
      </c>
      <c r="L1384" s="8">
        <v>17</v>
      </c>
      <c r="M1384" s="9"/>
    </row>
    <row r="1385" s="1" customFormat="1" ht="20.1" customHeight="1" spans="1:13">
      <c r="A1385" s="4" t="str">
        <f>"37502022022610455418956"</f>
        <v>37502022022610455418956</v>
      </c>
      <c r="B1385" s="4" t="s">
        <v>1349</v>
      </c>
      <c r="C1385" s="4" t="s">
        <v>332</v>
      </c>
      <c r="D1385" s="4" t="str">
        <f>"20220284717"</f>
        <v>20220284717</v>
      </c>
      <c r="E1385" s="4" t="str">
        <f t="shared" si="270"/>
        <v>47</v>
      </c>
      <c r="F1385" s="4" t="str">
        <f>"17"</f>
        <v>17</v>
      </c>
      <c r="G1385" s="5">
        <v>65.93</v>
      </c>
      <c r="H1385" s="5" t="s">
        <v>14</v>
      </c>
      <c r="I1385" s="5">
        <v>73</v>
      </c>
      <c r="J1385" s="5" t="s">
        <v>14</v>
      </c>
      <c r="K1385" s="7">
        <v>70.88</v>
      </c>
      <c r="L1385" s="8">
        <v>18</v>
      </c>
      <c r="M1385" s="9"/>
    </row>
    <row r="1386" s="1" customFormat="1" ht="20.1" customHeight="1" spans="1:13">
      <c r="A1386" s="4" t="str">
        <f>"37502022030122252924682"</f>
        <v>37502022030122252924682</v>
      </c>
      <c r="B1386" s="4" t="s">
        <v>1349</v>
      </c>
      <c r="C1386" s="4" t="s">
        <v>1366</v>
      </c>
      <c r="D1386" s="4" t="str">
        <f>"20220284629"</f>
        <v>20220284629</v>
      </c>
      <c r="E1386" s="4" t="str">
        <f t="shared" ref="E1386:E1391" si="271">"46"</f>
        <v>46</v>
      </c>
      <c r="F1386" s="4" t="str">
        <f>"29"</f>
        <v>29</v>
      </c>
      <c r="G1386" s="5">
        <v>74.86</v>
      </c>
      <c r="H1386" s="5" t="s">
        <v>14</v>
      </c>
      <c r="I1386" s="5">
        <v>68.3</v>
      </c>
      <c r="J1386" s="5" t="s">
        <v>14</v>
      </c>
      <c r="K1386" s="7">
        <v>70.27</v>
      </c>
      <c r="L1386" s="8">
        <v>19</v>
      </c>
      <c r="M1386" s="9"/>
    </row>
    <row r="1387" s="1" customFormat="1" ht="20.1" customHeight="1" spans="1:13">
      <c r="A1387" s="4" t="str">
        <f>"37502022022719453520708"</f>
        <v>37502022022719453520708</v>
      </c>
      <c r="B1387" s="4" t="s">
        <v>1349</v>
      </c>
      <c r="C1387" s="4" t="s">
        <v>1367</v>
      </c>
      <c r="D1387" s="4" t="str">
        <f>"20220284618"</f>
        <v>20220284618</v>
      </c>
      <c r="E1387" s="4" t="str">
        <f t="shared" si="271"/>
        <v>46</v>
      </c>
      <c r="F1387" s="4" t="str">
        <f>"18"</f>
        <v>18</v>
      </c>
      <c r="G1387" s="5">
        <v>62.7</v>
      </c>
      <c r="H1387" s="5" t="s">
        <v>14</v>
      </c>
      <c r="I1387" s="5">
        <v>72.9</v>
      </c>
      <c r="J1387" s="5" t="s">
        <v>14</v>
      </c>
      <c r="K1387" s="7">
        <v>69.84</v>
      </c>
      <c r="L1387" s="8">
        <v>20</v>
      </c>
      <c r="M1387" s="9"/>
    </row>
    <row r="1388" s="1" customFormat="1" ht="20.1" customHeight="1" spans="1:13">
      <c r="A1388" s="4" t="str">
        <f>"37502022030121313224590"</f>
        <v>37502022030121313224590</v>
      </c>
      <c r="B1388" s="4" t="s">
        <v>1349</v>
      </c>
      <c r="C1388" s="4" t="s">
        <v>1368</v>
      </c>
      <c r="D1388" s="4" t="str">
        <f>"20220284724"</f>
        <v>20220284724</v>
      </c>
      <c r="E1388" s="4" t="str">
        <f t="shared" ref="E1388:E1390" si="272">"47"</f>
        <v>47</v>
      </c>
      <c r="F1388" s="4" t="str">
        <f>"24"</f>
        <v>24</v>
      </c>
      <c r="G1388" s="5">
        <v>63.94</v>
      </c>
      <c r="H1388" s="5" t="s">
        <v>14</v>
      </c>
      <c r="I1388" s="5">
        <v>71.8</v>
      </c>
      <c r="J1388" s="5" t="s">
        <v>14</v>
      </c>
      <c r="K1388" s="7">
        <v>69.44</v>
      </c>
      <c r="L1388" s="8">
        <v>21</v>
      </c>
      <c r="M1388" s="9"/>
    </row>
    <row r="1389" s="1" customFormat="1" ht="20.1" customHeight="1" spans="1:13">
      <c r="A1389" s="4" t="str">
        <f>"37502022022818234022838"</f>
        <v>37502022022818234022838</v>
      </c>
      <c r="B1389" s="4" t="s">
        <v>1349</v>
      </c>
      <c r="C1389" s="4" t="s">
        <v>1369</v>
      </c>
      <c r="D1389" s="4" t="str">
        <f>"20220284703"</f>
        <v>20220284703</v>
      </c>
      <c r="E1389" s="4" t="str">
        <f t="shared" si="272"/>
        <v>47</v>
      </c>
      <c r="F1389" s="4" t="str">
        <f>"03"</f>
        <v>03</v>
      </c>
      <c r="G1389" s="5">
        <v>68.13</v>
      </c>
      <c r="H1389" s="5" t="s">
        <v>14</v>
      </c>
      <c r="I1389" s="5">
        <v>69.3</v>
      </c>
      <c r="J1389" s="5" t="s">
        <v>14</v>
      </c>
      <c r="K1389" s="7">
        <v>68.95</v>
      </c>
      <c r="L1389" s="8">
        <v>22</v>
      </c>
      <c r="M1389" s="9"/>
    </row>
    <row r="1390" s="1" customFormat="1" ht="20.1" customHeight="1" spans="1:13">
      <c r="A1390" s="4" t="str">
        <f>"37502022022702411619852"</f>
        <v>37502022022702411619852</v>
      </c>
      <c r="B1390" s="4" t="s">
        <v>1349</v>
      </c>
      <c r="C1390" s="4" t="s">
        <v>1370</v>
      </c>
      <c r="D1390" s="4" t="str">
        <f>"20220284723"</f>
        <v>20220284723</v>
      </c>
      <c r="E1390" s="4" t="str">
        <f t="shared" si="272"/>
        <v>47</v>
      </c>
      <c r="F1390" s="4" t="str">
        <f>"23"</f>
        <v>23</v>
      </c>
      <c r="G1390" s="5">
        <v>66.92</v>
      </c>
      <c r="H1390" s="5" t="s">
        <v>14</v>
      </c>
      <c r="I1390" s="5">
        <v>69.5</v>
      </c>
      <c r="J1390" s="5" t="s">
        <v>14</v>
      </c>
      <c r="K1390" s="7">
        <v>68.73</v>
      </c>
      <c r="L1390" s="8">
        <v>23</v>
      </c>
      <c r="M1390" s="9"/>
    </row>
    <row r="1391" s="1" customFormat="1" ht="20.1" customHeight="1" spans="1:13">
      <c r="A1391" s="4" t="str">
        <f>"37502022030208211524826"</f>
        <v>37502022030208211524826</v>
      </c>
      <c r="B1391" s="4" t="s">
        <v>1349</v>
      </c>
      <c r="C1391" s="4" t="s">
        <v>1371</v>
      </c>
      <c r="D1391" s="4" t="str">
        <f>"20220284616"</f>
        <v>20220284616</v>
      </c>
      <c r="E1391" s="4" t="str">
        <f t="shared" si="271"/>
        <v>46</v>
      </c>
      <c r="F1391" s="4" t="str">
        <f>"16"</f>
        <v>16</v>
      </c>
      <c r="G1391" s="5">
        <v>65.25</v>
      </c>
      <c r="H1391" s="5" t="s">
        <v>14</v>
      </c>
      <c r="I1391" s="5">
        <v>69.3</v>
      </c>
      <c r="J1391" s="5" t="s">
        <v>14</v>
      </c>
      <c r="K1391" s="7">
        <v>68.09</v>
      </c>
      <c r="L1391" s="8">
        <v>24</v>
      </c>
      <c r="M1391" s="9"/>
    </row>
    <row r="1392" s="1" customFormat="1" ht="20.1" customHeight="1" spans="1:13">
      <c r="A1392" s="4" t="str">
        <f>"37502022022817483722811"</f>
        <v>37502022022817483722811</v>
      </c>
      <c r="B1392" s="4" t="s">
        <v>1349</v>
      </c>
      <c r="C1392" s="4" t="s">
        <v>1372</v>
      </c>
      <c r="D1392" s="4" t="str">
        <f>"20220284714"</f>
        <v>20220284714</v>
      </c>
      <c r="E1392" s="4" t="str">
        <f t="shared" ref="E1392:E1395" si="273">"47"</f>
        <v>47</v>
      </c>
      <c r="F1392" s="4" t="str">
        <f>"14"</f>
        <v>14</v>
      </c>
      <c r="G1392" s="5">
        <v>64.76</v>
      </c>
      <c r="H1392" s="5" t="s">
        <v>14</v>
      </c>
      <c r="I1392" s="5">
        <v>67.5</v>
      </c>
      <c r="J1392" s="5" t="s">
        <v>14</v>
      </c>
      <c r="K1392" s="7">
        <v>66.68</v>
      </c>
      <c r="L1392" s="8">
        <v>25</v>
      </c>
      <c r="M1392" s="9"/>
    </row>
    <row r="1393" s="1" customFormat="1" ht="20.1" customHeight="1" spans="1:13">
      <c r="A1393" s="4" t="str">
        <f>"37502022030219014325762"</f>
        <v>37502022030219014325762</v>
      </c>
      <c r="B1393" s="4" t="s">
        <v>1349</v>
      </c>
      <c r="C1393" s="4" t="s">
        <v>1373</v>
      </c>
      <c r="D1393" s="4" t="str">
        <f>"20220284715"</f>
        <v>20220284715</v>
      </c>
      <c r="E1393" s="4" t="str">
        <f t="shared" si="273"/>
        <v>47</v>
      </c>
      <c r="F1393" s="4" t="str">
        <f>"15"</f>
        <v>15</v>
      </c>
      <c r="G1393" s="5">
        <v>73.12</v>
      </c>
      <c r="H1393" s="5" t="s">
        <v>14</v>
      </c>
      <c r="I1393" s="5">
        <v>63.3</v>
      </c>
      <c r="J1393" s="5" t="s">
        <v>14</v>
      </c>
      <c r="K1393" s="7">
        <v>66.25</v>
      </c>
      <c r="L1393" s="8">
        <v>26</v>
      </c>
      <c r="M1393" s="9"/>
    </row>
    <row r="1394" s="1" customFormat="1" ht="20.1" customHeight="1" spans="1:13">
      <c r="A1394" s="4" t="str">
        <f>"37502022030214311225393"</f>
        <v>37502022030214311225393</v>
      </c>
      <c r="B1394" s="4" t="s">
        <v>1349</v>
      </c>
      <c r="C1394" s="4" t="s">
        <v>1374</v>
      </c>
      <c r="D1394" s="4" t="str">
        <f>"20220284622"</f>
        <v>20220284622</v>
      </c>
      <c r="E1394" s="4" t="str">
        <f t="shared" ref="E1394:E1397" si="274">"46"</f>
        <v>46</v>
      </c>
      <c r="F1394" s="4" t="str">
        <f>"22"</f>
        <v>22</v>
      </c>
      <c r="G1394" s="5">
        <v>66.95</v>
      </c>
      <c r="H1394" s="5" t="s">
        <v>14</v>
      </c>
      <c r="I1394" s="5">
        <v>64.7</v>
      </c>
      <c r="J1394" s="5" t="s">
        <v>14</v>
      </c>
      <c r="K1394" s="7">
        <v>65.38</v>
      </c>
      <c r="L1394" s="8">
        <v>27</v>
      </c>
      <c r="M1394" s="9"/>
    </row>
    <row r="1395" s="1" customFormat="1" ht="20.1" customHeight="1" spans="1:13">
      <c r="A1395" s="4" t="str">
        <f>"37502022022819494822916"</f>
        <v>37502022022819494822916</v>
      </c>
      <c r="B1395" s="4" t="s">
        <v>1349</v>
      </c>
      <c r="C1395" s="4" t="s">
        <v>1375</v>
      </c>
      <c r="D1395" s="4" t="str">
        <f>"20220284725"</f>
        <v>20220284725</v>
      </c>
      <c r="E1395" s="4" t="str">
        <f t="shared" si="273"/>
        <v>47</v>
      </c>
      <c r="F1395" s="4" t="str">
        <f>"25"</f>
        <v>25</v>
      </c>
      <c r="G1395" s="5">
        <v>65.22</v>
      </c>
      <c r="H1395" s="5" t="s">
        <v>14</v>
      </c>
      <c r="I1395" s="5">
        <v>64.8</v>
      </c>
      <c r="J1395" s="5" t="s">
        <v>14</v>
      </c>
      <c r="K1395" s="7">
        <v>64.93</v>
      </c>
      <c r="L1395" s="8">
        <v>28</v>
      </c>
      <c r="M1395" s="9"/>
    </row>
    <row r="1396" s="1" customFormat="1" ht="20.1" customHeight="1" spans="1:13">
      <c r="A1396" s="4" t="str">
        <f>"37502022030120403524486"</f>
        <v>37502022030120403524486</v>
      </c>
      <c r="B1396" s="4" t="s">
        <v>1349</v>
      </c>
      <c r="C1396" s="4" t="s">
        <v>1376</v>
      </c>
      <c r="D1396" s="4" t="str">
        <f>"20220284628"</f>
        <v>20220284628</v>
      </c>
      <c r="E1396" s="4" t="str">
        <f t="shared" si="274"/>
        <v>46</v>
      </c>
      <c r="F1396" s="4" t="str">
        <f>"28"</f>
        <v>28</v>
      </c>
      <c r="G1396" s="5">
        <v>58.37</v>
      </c>
      <c r="H1396" s="5" t="s">
        <v>14</v>
      </c>
      <c r="I1396" s="5">
        <v>67.3</v>
      </c>
      <c r="J1396" s="5" t="s">
        <v>14</v>
      </c>
      <c r="K1396" s="7">
        <v>64.62</v>
      </c>
      <c r="L1396" s="8">
        <v>29</v>
      </c>
      <c r="M1396" s="9"/>
    </row>
    <row r="1397" s="1" customFormat="1" ht="20.1" customHeight="1" spans="1:13">
      <c r="A1397" s="4" t="str">
        <f>"37502022022612093319061"</f>
        <v>37502022022612093319061</v>
      </c>
      <c r="B1397" s="4" t="s">
        <v>1349</v>
      </c>
      <c r="C1397" s="4" t="s">
        <v>1151</v>
      </c>
      <c r="D1397" s="4" t="str">
        <f>"20220284624"</f>
        <v>20220284624</v>
      </c>
      <c r="E1397" s="4" t="str">
        <f t="shared" si="274"/>
        <v>46</v>
      </c>
      <c r="F1397" s="4" t="str">
        <f>"24"</f>
        <v>24</v>
      </c>
      <c r="G1397" s="5">
        <v>60.52</v>
      </c>
      <c r="H1397" s="5" t="s">
        <v>14</v>
      </c>
      <c r="I1397" s="5">
        <v>65</v>
      </c>
      <c r="J1397" s="5" t="s">
        <v>14</v>
      </c>
      <c r="K1397" s="7">
        <v>63.66</v>
      </c>
      <c r="L1397" s="8">
        <v>30</v>
      </c>
      <c r="M1397" s="9"/>
    </row>
    <row r="1398" s="1" customFormat="1" ht="20.1" customHeight="1" spans="1:13">
      <c r="A1398" s="4" t="str">
        <f>"37502022022610432818950"</f>
        <v>37502022022610432818950</v>
      </c>
      <c r="B1398" s="4" t="s">
        <v>1349</v>
      </c>
      <c r="C1398" s="4" t="s">
        <v>1377</v>
      </c>
      <c r="D1398" s="4" t="str">
        <f>"20220284711"</f>
        <v>20220284711</v>
      </c>
      <c r="E1398" s="4" t="str">
        <f t="shared" ref="E1398:E1401" si="275">"47"</f>
        <v>47</v>
      </c>
      <c r="F1398" s="4" t="str">
        <f>"11"</f>
        <v>11</v>
      </c>
      <c r="G1398" s="5">
        <v>0</v>
      </c>
      <c r="H1398" s="5" t="s">
        <v>74</v>
      </c>
      <c r="I1398" s="5">
        <v>0</v>
      </c>
      <c r="J1398" s="5" t="s">
        <v>74</v>
      </c>
      <c r="K1398" s="7">
        <v>0</v>
      </c>
      <c r="L1398" s="8">
        <v>31</v>
      </c>
      <c r="M1398" s="9"/>
    </row>
    <row r="1399" s="1" customFormat="1" ht="20.1" customHeight="1" spans="1:13">
      <c r="A1399" s="4" t="str">
        <f>"37502022022716395520465"</f>
        <v>37502022022716395520465</v>
      </c>
      <c r="B1399" s="4" t="s">
        <v>1349</v>
      </c>
      <c r="C1399" s="4" t="s">
        <v>1378</v>
      </c>
      <c r="D1399" s="4" t="str">
        <f>"20220284625"</f>
        <v>20220284625</v>
      </c>
      <c r="E1399" s="4" t="str">
        <f t="shared" ref="E1399:E1404" si="276">"46"</f>
        <v>46</v>
      </c>
      <c r="F1399" s="4" t="str">
        <f>"25"</f>
        <v>25</v>
      </c>
      <c r="G1399" s="5">
        <v>0</v>
      </c>
      <c r="H1399" s="5" t="s">
        <v>74</v>
      </c>
      <c r="I1399" s="5">
        <v>0</v>
      </c>
      <c r="J1399" s="5" t="s">
        <v>74</v>
      </c>
      <c r="K1399" s="7">
        <v>0</v>
      </c>
      <c r="L1399" s="8">
        <v>31</v>
      </c>
      <c r="M1399" s="9"/>
    </row>
    <row r="1400" s="1" customFormat="1" ht="20.1" customHeight="1" spans="1:13">
      <c r="A1400" s="4" t="str">
        <f>"37502022022814404322306"</f>
        <v>37502022022814404322306</v>
      </c>
      <c r="B1400" s="4" t="s">
        <v>1349</v>
      </c>
      <c r="C1400" s="4" t="s">
        <v>1379</v>
      </c>
      <c r="D1400" s="4" t="str">
        <f>"20220284713"</f>
        <v>20220284713</v>
      </c>
      <c r="E1400" s="4" t="str">
        <f t="shared" si="275"/>
        <v>47</v>
      </c>
      <c r="F1400" s="4" t="str">
        <f>"13"</f>
        <v>13</v>
      </c>
      <c r="G1400" s="5">
        <v>0</v>
      </c>
      <c r="H1400" s="5" t="s">
        <v>74</v>
      </c>
      <c r="I1400" s="5">
        <v>0</v>
      </c>
      <c r="J1400" s="5" t="s">
        <v>74</v>
      </c>
      <c r="K1400" s="7">
        <v>0</v>
      </c>
      <c r="L1400" s="8">
        <v>31</v>
      </c>
      <c r="M1400" s="9"/>
    </row>
    <row r="1401" s="1" customFormat="1" ht="20.1" customHeight="1" spans="1:13">
      <c r="A1401" s="4" t="str">
        <f>"37502022022819453322912"</f>
        <v>37502022022819453322912</v>
      </c>
      <c r="B1401" s="4" t="s">
        <v>1349</v>
      </c>
      <c r="C1401" s="4" t="s">
        <v>1380</v>
      </c>
      <c r="D1401" s="4" t="str">
        <f>"20220284702"</f>
        <v>20220284702</v>
      </c>
      <c r="E1401" s="4" t="str">
        <f t="shared" si="275"/>
        <v>47</v>
      </c>
      <c r="F1401" s="4" t="str">
        <f>"02"</f>
        <v>02</v>
      </c>
      <c r="G1401" s="5">
        <v>0</v>
      </c>
      <c r="H1401" s="5" t="s">
        <v>74</v>
      </c>
      <c r="I1401" s="5">
        <v>0</v>
      </c>
      <c r="J1401" s="5" t="s">
        <v>74</v>
      </c>
      <c r="K1401" s="7">
        <v>0</v>
      </c>
      <c r="L1401" s="8">
        <v>31</v>
      </c>
      <c r="M1401" s="9"/>
    </row>
    <row r="1402" s="1" customFormat="1" ht="20.1" customHeight="1" spans="1:13">
      <c r="A1402" s="4" t="str">
        <f>"37502022022821562823037"</f>
        <v>37502022022821562823037</v>
      </c>
      <c r="B1402" s="4" t="s">
        <v>1349</v>
      </c>
      <c r="C1402" s="4" t="s">
        <v>1381</v>
      </c>
      <c r="D1402" s="4" t="str">
        <f>"20220284620"</f>
        <v>20220284620</v>
      </c>
      <c r="E1402" s="4" t="str">
        <f t="shared" si="276"/>
        <v>46</v>
      </c>
      <c r="F1402" s="4" t="str">
        <f>"20"</f>
        <v>20</v>
      </c>
      <c r="G1402" s="5">
        <v>0</v>
      </c>
      <c r="H1402" s="5" t="s">
        <v>74</v>
      </c>
      <c r="I1402" s="5">
        <v>0</v>
      </c>
      <c r="J1402" s="5" t="s">
        <v>74</v>
      </c>
      <c r="K1402" s="7">
        <v>0</v>
      </c>
      <c r="L1402" s="8">
        <v>31</v>
      </c>
      <c r="M1402" s="9"/>
    </row>
    <row r="1403" s="1" customFormat="1" ht="20.1" customHeight="1" spans="1:13">
      <c r="A1403" s="4" t="str">
        <f>"37502022030109435623284"</f>
        <v>37502022030109435623284</v>
      </c>
      <c r="B1403" s="4" t="s">
        <v>1349</v>
      </c>
      <c r="C1403" s="4" t="s">
        <v>1382</v>
      </c>
      <c r="D1403" s="4" t="str">
        <f>"20220284721"</f>
        <v>20220284721</v>
      </c>
      <c r="E1403" s="4" t="str">
        <f t="shared" ref="E1403:E1407" si="277">"47"</f>
        <v>47</v>
      </c>
      <c r="F1403" s="4" t="str">
        <f>"21"</f>
        <v>21</v>
      </c>
      <c r="G1403" s="5">
        <v>0</v>
      </c>
      <c r="H1403" s="5" t="s">
        <v>74</v>
      </c>
      <c r="I1403" s="5">
        <v>0</v>
      </c>
      <c r="J1403" s="5" t="s">
        <v>74</v>
      </c>
      <c r="K1403" s="7">
        <v>0</v>
      </c>
      <c r="L1403" s="8">
        <v>31</v>
      </c>
      <c r="M1403" s="9"/>
    </row>
    <row r="1404" s="1" customFormat="1" ht="20.1" customHeight="1" spans="1:13">
      <c r="A1404" s="4" t="str">
        <f>"37502022030112531623683"</f>
        <v>37502022030112531623683</v>
      </c>
      <c r="B1404" s="4" t="s">
        <v>1349</v>
      </c>
      <c r="C1404" s="4" t="s">
        <v>1383</v>
      </c>
      <c r="D1404" s="4" t="str">
        <f>"20220284623"</f>
        <v>20220284623</v>
      </c>
      <c r="E1404" s="4" t="str">
        <f t="shared" si="276"/>
        <v>46</v>
      </c>
      <c r="F1404" s="4" t="str">
        <f>"23"</f>
        <v>23</v>
      </c>
      <c r="G1404" s="5">
        <v>0</v>
      </c>
      <c r="H1404" s="5" t="s">
        <v>74</v>
      </c>
      <c r="I1404" s="5">
        <v>0</v>
      </c>
      <c r="J1404" s="5" t="s">
        <v>74</v>
      </c>
      <c r="K1404" s="7">
        <v>0</v>
      </c>
      <c r="L1404" s="8">
        <v>31</v>
      </c>
      <c r="M1404" s="9"/>
    </row>
    <row r="1405" s="1" customFormat="1" ht="20.1" customHeight="1" spans="1:13">
      <c r="A1405" s="4" t="str">
        <f>"37502022030118345224245"</f>
        <v>37502022030118345224245</v>
      </c>
      <c r="B1405" s="4" t="s">
        <v>1349</v>
      </c>
      <c r="C1405" s="4" t="s">
        <v>1384</v>
      </c>
      <c r="D1405" s="4" t="str">
        <f>"20220284716"</f>
        <v>20220284716</v>
      </c>
      <c r="E1405" s="4" t="str">
        <f t="shared" si="277"/>
        <v>47</v>
      </c>
      <c r="F1405" s="4" t="str">
        <f>"16"</f>
        <v>16</v>
      </c>
      <c r="G1405" s="5">
        <v>0</v>
      </c>
      <c r="H1405" s="5" t="s">
        <v>74</v>
      </c>
      <c r="I1405" s="5">
        <v>0</v>
      </c>
      <c r="J1405" s="5" t="s">
        <v>74</v>
      </c>
      <c r="K1405" s="7">
        <v>0</v>
      </c>
      <c r="L1405" s="8">
        <v>31</v>
      </c>
      <c r="M1405" s="9"/>
    </row>
    <row r="1406" s="1" customFormat="1" ht="20.1" customHeight="1" spans="1:13">
      <c r="A1406" s="4" t="str">
        <f>"37502022030123353924745"</f>
        <v>37502022030123353924745</v>
      </c>
      <c r="B1406" s="4" t="s">
        <v>1349</v>
      </c>
      <c r="C1406" s="4" t="s">
        <v>1385</v>
      </c>
      <c r="D1406" s="4" t="str">
        <f>"20220284708"</f>
        <v>20220284708</v>
      </c>
      <c r="E1406" s="4" t="str">
        <f t="shared" si="277"/>
        <v>47</v>
      </c>
      <c r="F1406" s="4" t="str">
        <f>"08"</f>
        <v>08</v>
      </c>
      <c r="G1406" s="5">
        <v>0</v>
      </c>
      <c r="H1406" s="5" t="s">
        <v>74</v>
      </c>
      <c r="I1406" s="5">
        <v>0</v>
      </c>
      <c r="J1406" s="5" t="s">
        <v>74</v>
      </c>
      <c r="K1406" s="7">
        <v>0</v>
      </c>
      <c r="L1406" s="8">
        <v>31</v>
      </c>
      <c r="M1406" s="9"/>
    </row>
    <row r="1407" s="1" customFormat="1" ht="20.1" customHeight="1" spans="1:13">
      <c r="A1407" s="4" t="str">
        <f>"37502022030211340825135"</f>
        <v>37502022030211340825135</v>
      </c>
      <c r="B1407" s="4" t="s">
        <v>1349</v>
      </c>
      <c r="C1407" s="4" t="s">
        <v>1386</v>
      </c>
      <c r="D1407" s="4" t="str">
        <f>"20220284709"</f>
        <v>20220284709</v>
      </c>
      <c r="E1407" s="4" t="str">
        <f t="shared" si="277"/>
        <v>47</v>
      </c>
      <c r="F1407" s="4" t="str">
        <f>"09"</f>
        <v>09</v>
      </c>
      <c r="G1407" s="5">
        <v>0</v>
      </c>
      <c r="H1407" s="5" t="s">
        <v>74</v>
      </c>
      <c r="I1407" s="5">
        <v>0</v>
      </c>
      <c r="J1407" s="5" t="s">
        <v>74</v>
      </c>
      <c r="K1407" s="7">
        <v>0</v>
      </c>
      <c r="L1407" s="8">
        <v>31</v>
      </c>
      <c r="M1407" s="9"/>
    </row>
    <row r="1408" s="1" customFormat="1" ht="20.1" customHeight="1" spans="1:13">
      <c r="A1408" s="4" t="str">
        <f>"37502022030216484025568"</f>
        <v>37502022030216484025568</v>
      </c>
      <c r="B1408" s="4" t="s">
        <v>1349</v>
      </c>
      <c r="C1408" s="4" t="s">
        <v>1387</v>
      </c>
      <c r="D1408" s="4" t="str">
        <f>"20220284619"</f>
        <v>20220284619</v>
      </c>
      <c r="E1408" s="4" t="str">
        <f>"46"</f>
        <v>46</v>
      </c>
      <c r="F1408" s="4" t="str">
        <f>"19"</f>
        <v>19</v>
      </c>
      <c r="G1408" s="5">
        <v>0</v>
      </c>
      <c r="H1408" s="5" t="s">
        <v>74</v>
      </c>
      <c r="I1408" s="5">
        <v>0</v>
      </c>
      <c r="J1408" s="5" t="s">
        <v>74</v>
      </c>
      <c r="K1408" s="7">
        <v>0</v>
      </c>
      <c r="L1408" s="8">
        <v>31</v>
      </c>
      <c r="M1408" s="9"/>
    </row>
    <row r="1409" s="1" customFormat="1" ht="20.1" customHeight="1" spans="1:13">
      <c r="A1409" s="4" t="str">
        <f>"37502022030217460425650"</f>
        <v>37502022030217460425650</v>
      </c>
      <c r="B1409" s="4" t="s">
        <v>1349</v>
      </c>
      <c r="C1409" s="4" t="s">
        <v>1388</v>
      </c>
      <c r="D1409" s="4" t="str">
        <f>"20220284621"</f>
        <v>20220284621</v>
      </c>
      <c r="E1409" s="4" t="str">
        <f>"46"</f>
        <v>46</v>
      </c>
      <c r="F1409" s="4" t="str">
        <f>"21"</f>
        <v>21</v>
      </c>
      <c r="G1409" s="5">
        <v>0</v>
      </c>
      <c r="H1409" s="5" t="s">
        <v>74</v>
      </c>
      <c r="I1409" s="5">
        <v>0</v>
      </c>
      <c r="J1409" s="5" t="s">
        <v>74</v>
      </c>
      <c r="K1409" s="7">
        <v>0</v>
      </c>
      <c r="L1409" s="8">
        <v>31</v>
      </c>
      <c r="M1409" s="9"/>
    </row>
    <row r="1410" s="1" customFormat="1" ht="20.1" customHeight="1" spans="1:13">
      <c r="A1410" s="4" t="str">
        <f>"37502022022612312219094"</f>
        <v>37502022022612312219094</v>
      </c>
      <c r="B1410" s="4" t="s">
        <v>1389</v>
      </c>
      <c r="C1410" s="4" t="s">
        <v>1390</v>
      </c>
      <c r="D1410" s="4" t="str">
        <f>"20220294809"</f>
        <v>20220294809</v>
      </c>
      <c r="E1410" s="4" t="str">
        <f t="shared" ref="E1410:E1415" si="278">"48"</f>
        <v>48</v>
      </c>
      <c r="F1410" s="4" t="str">
        <f>"09"</f>
        <v>09</v>
      </c>
      <c r="G1410" s="5">
        <v>80.92</v>
      </c>
      <c r="H1410" s="5" t="s">
        <v>14</v>
      </c>
      <c r="I1410" s="5">
        <v>79.1</v>
      </c>
      <c r="J1410" s="5" t="s">
        <v>14</v>
      </c>
      <c r="K1410" s="7">
        <v>79.65</v>
      </c>
      <c r="L1410" s="8">
        <v>1</v>
      </c>
      <c r="M1410" s="9"/>
    </row>
    <row r="1411" s="1" customFormat="1" ht="20.1" customHeight="1" spans="1:13">
      <c r="A1411" s="4" t="str">
        <f>"37502022022610112518858"</f>
        <v>37502022022610112518858</v>
      </c>
      <c r="B1411" s="4" t="s">
        <v>1389</v>
      </c>
      <c r="C1411" s="4" t="s">
        <v>1391</v>
      </c>
      <c r="D1411" s="4" t="str">
        <f>"20220294814"</f>
        <v>20220294814</v>
      </c>
      <c r="E1411" s="4" t="str">
        <f t="shared" si="278"/>
        <v>48</v>
      </c>
      <c r="F1411" s="4" t="str">
        <f>"14"</f>
        <v>14</v>
      </c>
      <c r="G1411" s="5">
        <v>72.32</v>
      </c>
      <c r="H1411" s="5" t="s">
        <v>14</v>
      </c>
      <c r="I1411" s="5">
        <v>81.8</v>
      </c>
      <c r="J1411" s="5" t="s">
        <v>14</v>
      </c>
      <c r="K1411" s="7">
        <v>78.96</v>
      </c>
      <c r="L1411" s="8">
        <v>2</v>
      </c>
      <c r="M1411" s="9"/>
    </row>
    <row r="1412" s="1" customFormat="1" ht="20.1" customHeight="1" spans="1:13">
      <c r="A1412" s="4" t="str">
        <f>"37502022030119432224386"</f>
        <v>37502022030119432224386</v>
      </c>
      <c r="B1412" s="4" t="s">
        <v>1389</v>
      </c>
      <c r="C1412" s="4" t="s">
        <v>1392</v>
      </c>
      <c r="D1412" s="4" t="str">
        <f>"20220294821"</f>
        <v>20220294821</v>
      </c>
      <c r="E1412" s="4" t="str">
        <f t="shared" si="278"/>
        <v>48</v>
      </c>
      <c r="F1412" s="4" t="str">
        <f>"21"</f>
        <v>21</v>
      </c>
      <c r="G1412" s="5">
        <v>75.36</v>
      </c>
      <c r="H1412" s="5" t="s">
        <v>14</v>
      </c>
      <c r="I1412" s="5">
        <v>80.2</v>
      </c>
      <c r="J1412" s="5" t="s">
        <v>14</v>
      </c>
      <c r="K1412" s="7">
        <v>78.75</v>
      </c>
      <c r="L1412" s="8">
        <v>3</v>
      </c>
      <c r="M1412" s="9"/>
    </row>
    <row r="1413" s="1" customFormat="1" ht="20.1" customHeight="1" spans="1:13">
      <c r="A1413" s="4" t="str">
        <f>"37502022022610113318860"</f>
        <v>37502022022610113318860</v>
      </c>
      <c r="B1413" s="4" t="s">
        <v>1389</v>
      </c>
      <c r="C1413" s="4" t="s">
        <v>1393</v>
      </c>
      <c r="D1413" s="4" t="str">
        <f>"20220294829"</f>
        <v>20220294829</v>
      </c>
      <c r="E1413" s="4" t="str">
        <f t="shared" si="278"/>
        <v>48</v>
      </c>
      <c r="F1413" s="4" t="str">
        <f>"29"</f>
        <v>29</v>
      </c>
      <c r="G1413" s="5">
        <v>75.8</v>
      </c>
      <c r="H1413" s="5" t="s">
        <v>14</v>
      </c>
      <c r="I1413" s="5">
        <v>80</v>
      </c>
      <c r="J1413" s="5" t="s">
        <v>14</v>
      </c>
      <c r="K1413" s="7">
        <v>78.74</v>
      </c>
      <c r="L1413" s="8">
        <v>4</v>
      </c>
      <c r="M1413" s="9"/>
    </row>
    <row r="1414" s="1" customFormat="1" ht="20.1" customHeight="1" spans="1:13">
      <c r="A1414" s="4" t="str">
        <f>"37502022030208112224819"</f>
        <v>37502022030208112224819</v>
      </c>
      <c r="B1414" s="4" t="s">
        <v>1389</v>
      </c>
      <c r="C1414" s="4" t="s">
        <v>779</v>
      </c>
      <c r="D1414" s="4" t="str">
        <f>"20220294825"</f>
        <v>20220294825</v>
      </c>
      <c r="E1414" s="4" t="str">
        <f t="shared" si="278"/>
        <v>48</v>
      </c>
      <c r="F1414" s="4" t="str">
        <f>"25"</f>
        <v>25</v>
      </c>
      <c r="G1414" s="5">
        <v>77.59</v>
      </c>
      <c r="H1414" s="5" t="s">
        <v>14</v>
      </c>
      <c r="I1414" s="5">
        <v>78.8</v>
      </c>
      <c r="J1414" s="5" t="s">
        <v>14</v>
      </c>
      <c r="K1414" s="7">
        <v>78.44</v>
      </c>
      <c r="L1414" s="8">
        <v>5</v>
      </c>
      <c r="M1414" s="9"/>
    </row>
    <row r="1415" s="1" customFormat="1" ht="20.1" customHeight="1" spans="1:13">
      <c r="A1415" s="4" t="str">
        <f>"37502022022815322222496"</f>
        <v>37502022022815322222496</v>
      </c>
      <c r="B1415" s="4" t="s">
        <v>1389</v>
      </c>
      <c r="C1415" s="4" t="s">
        <v>1394</v>
      </c>
      <c r="D1415" s="4" t="str">
        <f>"20220294807"</f>
        <v>20220294807</v>
      </c>
      <c r="E1415" s="4" t="str">
        <f t="shared" si="278"/>
        <v>48</v>
      </c>
      <c r="F1415" s="4" t="str">
        <f>"07"</f>
        <v>07</v>
      </c>
      <c r="G1415" s="5">
        <v>76.8</v>
      </c>
      <c r="H1415" s="5" t="s">
        <v>14</v>
      </c>
      <c r="I1415" s="5">
        <v>78.7</v>
      </c>
      <c r="J1415" s="5" t="s">
        <v>14</v>
      </c>
      <c r="K1415" s="7">
        <v>78.13</v>
      </c>
      <c r="L1415" s="8">
        <v>6</v>
      </c>
      <c r="M1415" s="9"/>
    </row>
    <row r="1416" s="1" customFormat="1" ht="20.1" customHeight="1" spans="1:13">
      <c r="A1416" s="4" t="str">
        <f>"37502022022711114020000"</f>
        <v>37502022022711114020000</v>
      </c>
      <c r="B1416" s="4" t="s">
        <v>1389</v>
      </c>
      <c r="C1416" s="4" t="s">
        <v>1395</v>
      </c>
      <c r="D1416" s="4" t="str">
        <f>"20220294901"</f>
        <v>20220294901</v>
      </c>
      <c r="E1416" s="4" t="str">
        <f>"49"</f>
        <v>49</v>
      </c>
      <c r="F1416" s="4" t="str">
        <f>"01"</f>
        <v>01</v>
      </c>
      <c r="G1416" s="5">
        <v>81.68</v>
      </c>
      <c r="H1416" s="5" t="s">
        <v>14</v>
      </c>
      <c r="I1416" s="5">
        <v>75.4</v>
      </c>
      <c r="J1416" s="5" t="s">
        <v>14</v>
      </c>
      <c r="K1416" s="7">
        <v>77.28</v>
      </c>
      <c r="L1416" s="8">
        <v>7</v>
      </c>
      <c r="M1416" s="9"/>
    </row>
    <row r="1417" s="1" customFormat="1" ht="20.1" customHeight="1" spans="1:13">
      <c r="A1417" s="4" t="str">
        <f>"37502022022808204221311"</f>
        <v>37502022022808204221311</v>
      </c>
      <c r="B1417" s="4" t="s">
        <v>1389</v>
      </c>
      <c r="C1417" s="4" t="s">
        <v>1396</v>
      </c>
      <c r="D1417" s="4" t="str">
        <f>"20220294822"</f>
        <v>20220294822</v>
      </c>
      <c r="E1417" s="4" t="str">
        <f t="shared" ref="E1417:E1422" si="279">"48"</f>
        <v>48</v>
      </c>
      <c r="F1417" s="4" t="str">
        <f>"22"</f>
        <v>22</v>
      </c>
      <c r="G1417" s="5">
        <v>75.14</v>
      </c>
      <c r="H1417" s="5" t="s">
        <v>14</v>
      </c>
      <c r="I1417" s="5">
        <v>78.2</v>
      </c>
      <c r="J1417" s="5" t="s">
        <v>14</v>
      </c>
      <c r="K1417" s="7">
        <v>77.28</v>
      </c>
      <c r="L1417" s="8">
        <v>7</v>
      </c>
      <c r="M1417" s="9"/>
    </row>
    <row r="1418" s="1" customFormat="1" ht="20.1" customHeight="1" spans="1:13">
      <c r="A1418" s="4" t="str">
        <f>"37502022030109532423306"</f>
        <v>37502022030109532423306</v>
      </c>
      <c r="B1418" s="4" t="s">
        <v>1389</v>
      </c>
      <c r="C1418" s="4" t="s">
        <v>1397</v>
      </c>
      <c r="D1418" s="4" t="str">
        <f>"20220294728"</f>
        <v>20220294728</v>
      </c>
      <c r="E1418" s="4" t="str">
        <f>"47"</f>
        <v>47</v>
      </c>
      <c r="F1418" s="4" t="str">
        <f>"28"</f>
        <v>28</v>
      </c>
      <c r="G1418" s="5">
        <v>75.18</v>
      </c>
      <c r="H1418" s="5" t="s">
        <v>14</v>
      </c>
      <c r="I1418" s="5">
        <v>78</v>
      </c>
      <c r="J1418" s="5" t="s">
        <v>14</v>
      </c>
      <c r="K1418" s="7">
        <v>77.15</v>
      </c>
      <c r="L1418" s="8">
        <v>9</v>
      </c>
      <c r="M1418" s="9"/>
    </row>
    <row r="1419" s="1" customFormat="1" ht="20.1" customHeight="1" spans="1:13">
      <c r="A1419" s="4" t="str">
        <f>"37502022022809181621422"</f>
        <v>37502022022809181621422</v>
      </c>
      <c r="B1419" s="4" t="s">
        <v>1389</v>
      </c>
      <c r="C1419" s="4" t="s">
        <v>1398</v>
      </c>
      <c r="D1419" s="4" t="str">
        <f>"20220294813"</f>
        <v>20220294813</v>
      </c>
      <c r="E1419" s="4" t="str">
        <f t="shared" si="279"/>
        <v>48</v>
      </c>
      <c r="F1419" s="4" t="str">
        <f>"13"</f>
        <v>13</v>
      </c>
      <c r="G1419" s="5">
        <v>76.98</v>
      </c>
      <c r="H1419" s="5" t="s">
        <v>14</v>
      </c>
      <c r="I1419" s="5">
        <v>77</v>
      </c>
      <c r="J1419" s="5" t="s">
        <v>14</v>
      </c>
      <c r="K1419" s="7">
        <v>76.99</v>
      </c>
      <c r="L1419" s="8">
        <v>10</v>
      </c>
      <c r="M1419" s="9"/>
    </row>
    <row r="1420" s="1" customFormat="1" ht="20.1" customHeight="1" spans="1:13">
      <c r="A1420" s="4" t="str">
        <f>"37502022022718404820597"</f>
        <v>37502022022718404820597</v>
      </c>
      <c r="B1420" s="4" t="s">
        <v>1389</v>
      </c>
      <c r="C1420" s="4" t="s">
        <v>1399</v>
      </c>
      <c r="D1420" s="4" t="str">
        <f>"20220294902"</f>
        <v>20220294902</v>
      </c>
      <c r="E1420" s="4" t="str">
        <f>"49"</f>
        <v>49</v>
      </c>
      <c r="F1420" s="4" t="str">
        <f>"02"</f>
        <v>02</v>
      </c>
      <c r="G1420" s="5">
        <v>75.88</v>
      </c>
      <c r="H1420" s="5" t="s">
        <v>14</v>
      </c>
      <c r="I1420" s="5">
        <v>77</v>
      </c>
      <c r="J1420" s="5" t="s">
        <v>14</v>
      </c>
      <c r="K1420" s="7">
        <v>76.66</v>
      </c>
      <c r="L1420" s="8">
        <v>11</v>
      </c>
      <c r="M1420" s="9"/>
    </row>
    <row r="1421" s="1" customFormat="1" ht="20.1" customHeight="1" spans="1:13">
      <c r="A1421" s="4" t="str">
        <f>"37502022022610163918883"</f>
        <v>37502022022610163918883</v>
      </c>
      <c r="B1421" s="4" t="s">
        <v>1389</v>
      </c>
      <c r="C1421" s="4" t="s">
        <v>1400</v>
      </c>
      <c r="D1421" s="4" t="str">
        <f>"20220294808"</f>
        <v>20220294808</v>
      </c>
      <c r="E1421" s="4" t="str">
        <f t="shared" si="279"/>
        <v>48</v>
      </c>
      <c r="F1421" s="4" t="str">
        <f>"08"</f>
        <v>08</v>
      </c>
      <c r="G1421" s="5">
        <v>70.6</v>
      </c>
      <c r="H1421" s="5" t="s">
        <v>14</v>
      </c>
      <c r="I1421" s="5">
        <v>78.5</v>
      </c>
      <c r="J1421" s="5" t="s">
        <v>14</v>
      </c>
      <c r="K1421" s="7">
        <v>76.13</v>
      </c>
      <c r="L1421" s="8">
        <v>12</v>
      </c>
      <c r="M1421" s="9"/>
    </row>
    <row r="1422" s="1" customFormat="1" ht="20.1" customHeight="1" spans="1:13">
      <c r="A1422" s="4" t="str">
        <f>"37502022030109475723292"</f>
        <v>37502022030109475723292</v>
      </c>
      <c r="B1422" s="4" t="s">
        <v>1389</v>
      </c>
      <c r="C1422" s="4" t="s">
        <v>612</v>
      </c>
      <c r="D1422" s="4" t="str">
        <f>"20220294826"</f>
        <v>20220294826</v>
      </c>
      <c r="E1422" s="4" t="str">
        <f t="shared" si="279"/>
        <v>48</v>
      </c>
      <c r="F1422" s="4" t="str">
        <f>"26"</f>
        <v>26</v>
      </c>
      <c r="G1422" s="5">
        <v>80.53</v>
      </c>
      <c r="H1422" s="5" t="s">
        <v>14</v>
      </c>
      <c r="I1422" s="5">
        <v>74.1</v>
      </c>
      <c r="J1422" s="5" t="s">
        <v>14</v>
      </c>
      <c r="K1422" s="7">
        <v>76.03</v>
      </c>
      <c r="L1422" s="8">
        <v>13</v>
      </c>
      <c r="M1422" s="9"/>
    </row>
    <row r="1423" s="1" customFormat="1" ht="20.1" customHeight="1" spans="1:13">
      <c r="A1423" s="4" t="str">
        <f>"37502022022621274319692"</f>
        <v>37502022022621274319692</v>
      </c>
      <c r="B1423" s="4" t="s">
        <v>1389</v>
      </c>
      <c r="C1423" s="4" t="s">
        <v>1401</v>
      </c>
      <c r="D1423" s="4" t="str">
        <f>"20220294911"</f>
        <v>20220294911</v>
      </c>
      <c r="E1423" s="4" t="str">
        <f>"49"</f>
        <v>49</v>
      </c>
      <c r="F1423" s="4" t="str">
        <f>"11"</f>
        <v>11</v>
      </c>
      <c r="G1423" s="5">
        <v>75.28</v>
      </c>
      <c r="H1423" s="5" t="s">
        <v>14</v>
      </c>
      <c r="I1423" s="5">
        <v>74.7</v>
      </c>
      <c r="J1423" s="5" t="s">
        <v>14</v>
      </c>
      <c r="K1423" s="7">
        <v>74.87</v>
      </c>
      <c r="L1423" s="8">
        <v>14</v>
      </c>
      <c r="M1423" s="9"/>
    </row>
    <row r="1424" s="1" customFormat="1" ht="20.1" customHeight="1" spans="1:13">
      <c r="A1424" s="4" t="str">
        <f>"37502022022719444920704"</f>
        <v>37502022022719444920704</v>
      </c>
      <c r="B1424" s="4" t="s">
        <v>1389</v>
      </c>
      <c r="C1424" s="4" t="s">
        <v>1402</v>
      </c>
      <c r="D1424" s="4" t="str">
        <f>"20220294811"</f>
        <v>20220294811</v>
      </c>
      <c r="E1424" s="4" t="str">
        <f t="shared" ref="E1424:E1427" si="280">"48"</f>
        <v>48</v>
      </c>
      <c r="F1424" s="4" t="str">
        <f>"11"</f>
        <v>11</v>
      </c>
      <c r="G1424" s="5">
        <v>63.28</v>
      </c>
      <c r="H1424" s="5" t="s">
        <v>14</v>
      </c>
      <c r="I1424" s="5">
        <v>78.8</v>
      </c>
      <c r="J1424" s="5" t="s">
        <v>14</v>
      </c>
      <c r="K1424" s="7">
        <v>74.14</v>
      </c>
      <c r="L1424" s="8">
        <v>15</v>
      </c>
      <c r="M1424" s="9"/>
    </row>
    <row r="1425" s="1" customFormat="1" ht="20.1" customHeight="1" spans="1:13">
      <c r="A1425" s="4" t="str">
        <f>"37502022022820574522983"</f>
        <v>37502022022820574522983</v>
      </c>
      <c r="B1425" s="4" t="s">
        <v>1389</v>
      </c>
      <c r="C1425" s="4" t="s">
        <v>1403</v>
      </c>
      <c r="D1425" s="4" t="str">
        <f>"20220294729"</f>
        <v>20220294729</v>
      </c>
      <c r="E1425" s="4" t="str">
        <f>"47"</f>
        <v>47</v>
      </c>
      <c r="F1425" s="4" t="str">
        <f>"29"</f>
        <v>29</v>
      </c>
      <c r="G1425" s="5">
        <v>71.7</v>
      </c>
      <c r="H1425" s="5" t="s">
        <v>14</v>
      </c>
      <c r="I1425" s="5">
        <v>73.9</v>
      </c>
      <c r="J1425" s="5" t="s">
        <v>14</v>
      </c>
      <c r="K1425" s="7">
        <v>73.24</v>
      </c>
      <c r="L1425" s="8">
        <v>16</v>
      </c>
      <c r="M1425" s="9"/>
    </row>
    <row r="1426" s="1" customFormat="1" ht="20.1" customHeight="1" spans="1:13">
      <c r="A1426" s="4" t="str">
        <f>"37502022030122411424707"</f>
        <v>37502022030122411424707</v>
      </c>
      <c r="B1426" s="4" t="s">
        <v>1389</v>
      </c>
      <c r="C1426" s="4" t="s">
        <v>1404</v>
      </c>
      <c r="D1426" s="4" t="str">
        <f>"20220294815"</f>
        <v>20220294815</v>
      </c>
      <c r="E1426" s="4" t="str">
        <f t="shared" si="280"/>
        <v>48</v>
      </c>
      <c r="F1426" s="4" t="str">
        <f>"15"</f>
        <v>15</v>
      </c>
      <c r="G1426" s="5">
        <v>72.82</v>
      </c>
      <c r="H1426" s="5" t="s">
        <v>14</v>
      </c>
      <c r="I1426" s="5">
        <v>72.8</v>
      </c>
      <c r="J1426" s="5" t="s">
        <v>14</v>
      </c>
      <c r="K1426" s="7">
        <v>72.81</v>
      </c>
      <c r="L1426" s="8">
        <v>17</v>
      </c>
      <c r="M1426" s="9"/>
    </row>
    <row r="1427" s="1" customFormat="1" ht="20.1" customHeight="1" spans="1:13">
      <c r="A1427" s="4" t="str">
        <f>"37502022030115110123887"</f>
        <v>37502022030115110123887</v>
      </c>
      <c r="B1427" s="4" t="s">
        <v>1389</v>
      </c>
      <c r="C1427" s="4" t="s">
        <v>1405</v>
      </c>
      <c r="D1427" s="4" t="str">
        <f>"20220294817"</f>
        <v>20220294817</v>
      </c>
      <c r="E1427" s="4" t="str">
        <f t="shared" si="280"/>
        <v>48</v>
      </c>
      <c r="F1427" s="4" t="str">
        <f>"17"</f>
        <v>17</v>
      </c>
      <c r="G1427" s="5">
        <v>66.84</v>
      </c>
      <c r="H1427" s="5" t="s">
        <v>14</v>
      </c>
      <c r="I1427" s="5">
        <v>74.5</v>
      </c>
      <c r="J1427" s="5" t="s">
        <v>14</v>
      </c>
      <c r="K1427" s="7">
        <v>72.2</v>
      </c>
      <c r="L1427" s="8">
        <v>18</v>
      </c>
      <c r="M1427" s="9"/>
    </row>
    <row r="1428" s="1" customFormat="1" ht="20.1" customHeight="1" spans="1:13">
      <c r="A1428" s="4" t="str">
        <f>"37502022030115242323915"</f>
        <v>37502022030115242323915</v>
      </c>
      <c r="B1428" s="4" t="s">
        <v>1389</v>
      </c>
      <c r="C1428" s="4" t="s">
        <v>1406</v>
      </c>
      <c r="D1428" s="4" t="str">
        <f>"20220294908"</f>
        <v>20220294908</v>
      </c>
      <c r="E1428" s="4" t="str">
        <f t="shared" ref="E1428:E1434" si="281">"49"</f>
        <v>49</v>
      </c>
      <c r="F1428" s="4" t="str">
        <f>"08"</f>
        <v>08</v>
      </c>
      <c r="G1428" s="5">
        <v>71.82</v>
      </c>
      <c r="H1428" s="5" t="s">
        <v>14</v>
      </c>
      <c r="I1428" s="5">
        <v>71.8</v>
      </c>
      <c r="J1428" s="5" t="s">
        <v>14</v>
      </c>
      <c r="K1428" s="7">
        <v>71.81</v>
      </c>
      <c r="L1428" s="8">
        <v>19</v>
      </c>
      <c r="M1428" s="9"/>
    </row>
    <row r="1429" s="1" customFormat="1" ht="20.1" customHeight="1" spans="1:13">
      <c r="A1429" s="4" t="str">
        <f>"37502022022818380522848"</f>
        <v>37502022022818380522848</v>
      </c>
      <c r="B1429" s="4" t="s">
        <v>1389</v>
      </c>
      <c r="C1429" s="4" t="s">
        <v>1322</v>
      </c>
      <c r="D1429" s="4" t="str">
        <f>"20220294827"</f>
        <v>20220294827</v>
      </c>
      <c r="E1429" s="4" t="str">
        <f t="shared" ref="E1429:E1432" si="282">"48"</f>
        <v>48</v>
      </c>
      <c r="F1429" s="4" t="str">
        <f>"27"</f>
        <v>27</v>
      </c>
      <c r="G1429" s="5">
        <v>77.93</v>
      </c>
      <c r="H1429" s="5" t="s">
        <v>14</v>
      </c>
      <c r="I1429" s="5">
        <v>68.8</v>
      </c>
      <c r="J1429" s="5" t="s">
        <v>14</v>
      </c>
      <c r="K1429" s="7">
        <v>71.54</v>
      </c>
      <c r="L1429" s="8">
        <v>20</v>
      </c>
      <c r="M1429" s="9"/>
    </row>
    <row r="1430" s="1" customFormat="1" ht="20.1" customHeight="1" spans="1:13">
      <c r="A1430" s="4" t="str">
        <f>"37502022022813102522063"</f>
        <v>37502022022813102522063</v>
      </c>
      <c r="B1430" s="4" t="s">
        <v>1389</v>
      </c>
      <c r="C1430" s="4" t="s">
        <v>1407</v>
      </c>
      <c r="D1430" s="4" t="str">
        <f>"20220294905"</f>
        <v>20220294905</v>
      </c>
      <c r="E1430" s="4" t="str">
        <f t="shared" si="281"/>
        <v>49</v>
      </c>
      <c r="F1430" s="4" t="str">
        <f>"05"</f>
        <v>05</v>
      </c>
      <c r="G1430" s="5">
        <v>69.31</v>
      </c>
      <c r="H1430" s="5" t="s">
        <v>14</v>
      </c>
      <c r="I1430" s="5">
        <v>72.4</v>
      </c>
      <c r="J1430" s="5" t="s">
        <v>14</v>
      </c>
      <c r="K1430" s="7">
        <v>71.47</v>
      </c>
      <c r="L1430" s="8">
        <v>21</v>
      </c>
      <c r="M1430" s="9"/>
    </row>
    <row r="1431" s="1" customFormat="1" ht="20.1" customHeight="1" spans="1:13">
      <c r="A1431" s="4" t="str">
        <f>"37502022022819310922896"</f>
        <v>37502022022819310922896</v>
      </c>
      <c r="B1431" s="4" t="s">
        <v>1389</v>
      </c>
      <c r="C1431" s="4" t="s">
        <v>1408</v>
      </c>
      <c r="D1431" s="4" t="str">
        <f>"20220294806"</f>
        <v>20220294806</v>
      </c>
      <c r="E1431" s="4" t="str">
        <f t="shared" si="282"/>
        <v>48</v>
      </c>
      <c r="F1431" s="4" t="str">
        <f>"06"</f>
        <v>06</v>
      </c>
      <c r="G1431" s="5">
        <v>72.23</v>
      </c>
      <c r="H1431" s="5" t="s">
        <v>14</v>
      </c>
      <c r="I1431" s="5">
        <v>69.9</v>
      </c>
      <c r="J1431" s="5" t="s">
        <v>14</v>
      </c>
      <c r="K1431" s="7">
        <v>70.6</v>
      </c>
      <c r="L1431" s="8">
        <v>22</v>
      </c>
      <c r="M1431" s="9"/>
    </row>
    <row r="1432" s="1" customFormat="1" ht="20.1" customHeight="1" spans="1:13">
      <c r="A1432" s="4" t="str">
        <f>"37502022030119013124295"</f>
        <v>37502022030119013124295</v>
      </c>
      <c r="B1432" s="4" t="s">
        <v>1389</v>
      </c>
      <c r="C1432" s="4" t="s">
        <v>1409</v>
      </c>
      <c r="D1432" s="4" t="str">
        <f>"20220294820"</f>
        <v>20220294820</v>
      </c>
      <c r="E1432" s="4" t="str">
        <f t="shared" si="282"/>
        <v>48</v>
      </c>
      <c r="F1432" s="4" t="str">
        <f>"20"</f>
        <v>20</v>
      </c>
      <c r="G1432" s="5">
        <v>64.81</v>
      </c>
      <c r="H1432" s="5" t="s">
        <v>14</v>
      </c>
      <c r="I1432" s="5">
        <v>72.6</v>
      </c>
      <c r="J1432" s="5" t="s">
        <v>14</v>
      </c>
      <c r="K1432" s="7">
        <v>70.26</v>
      </c>
      <c r="L1432" s="8">
        <v>23</v>
      </c>
      <c r="M1432" s="9"/>
    </row>
    <row r="1433" s="1" customFormat="1" ht="20.1" customHeight="1" spans="1:13">
      <c r="A1433" s="4" t="str">
        <f>"37502022030210595625084"</f>
        <v>37502022030210595625084</v>
      </c>
      <c r="B1433" s="4" t="s">
        <v>1389</v>
      </c>
      <c r="C1433" s="4" t="s">
        <v>1410</v>
      </c>
      <c r="D1433" s="4" t="str">
        <f>"20220294910"</f>
        <v>20220294910</v>
      </c>
      <c r="E1433" s="4" t="str">
        <f t="shared" si="281"/>
        <v>49</v>
      </c>
      <c r="F1433" s="4" t="str">
        <f>"10"</f>
        <v>10</v>
      </c>
      <c r="G1433" s="5">
        <v>75.21</v>
      </c>
      <c r="H1433" s="5" t="s">
        <v>14</v>
      </c>
      <c r="I1433" s="5">
        <v>67.5</v>
      </c>
      <c r="J1433" s="5" t="s">
        <v>14</v>
      </c>
      <c r="K1433" s="7">
        <v>69.81</v>
      </c>
      <c r="L1433" s="8">
        <v>24</v>
      </c>
      <c r="M1433" s="9"/>
    </row>
    <row r="1434" s="1" customFormat="1" ht="20.1" customHeight="1" spans="1:13">
      <c r="A1434" s="4" t="str">
        <f>"37502022030121072824549"</f>
        <v>37502022030121072824549</v>
      </c>
      <c r="B1434" s="4" t="s">
        <v>1389</v>
      </c>
      <c r="C1434" s="4" t="s">
        <v>1411</v>
      </c>
      <c r="D1434" s="4" t="str">
        <f>"20220294903"</f>
        <v>20220294903</v>
      </c>
      <c r="E1434" s="4" t="str">
        <f t="shared" si="281"/>
        <v>49</v>
      </c>
      <c r="F1434" s="4" t="str">
        <f>"03"</f>
        <v>03</v>
      </c>
      <c r="G1434" s="5">
        <v>71.22</v>
      </c>
      <c r="H1434" s="5" t="s">
        <v>14</v>
      </c>
      <c r="I1434" s="5">
        <v>68.6</v>
      </c>
      <c r="J1434" s="5" t="s">
        <v>14</v>
      </c>
      <c r="K1434" s="7">
        <v>69.39</v>
      </c>
      <c r="L1434" s="8">
        <v>25</v>
      </c>
      <c r="M1434" s="9"/>
    </row>
    <row r="1435" s="1" customFormat="1" ht="20.1" customHeight="1" spans="1:13">
      <c r="A1435" s="4" t="str">
        <f>"37502022030207530624802"</f>
        <v>37502022030207530624802</v>
      </c>
      <c r="B1435" s="4" t="s">
        <v>1389</v>
      </c>
      <c r="C1435" s="4" t="s">
        <v>1412</v>
      </c>
      <c r="D1435" s="4" t="str">
        <f>"20220294804"</f>
        <v>20220294804</v>
      </c>
      <c r="E1435" s="4" t="str">
        <f t="shared" ref="E1435:E1439" si="283">"48"</f>
        <v>48</v>
      </c>
      <c r="F1435" s="4" t="str">
        <f>"04"</f>
        <v>04</v>
      </c>
      <c r="G1435" s="5">
        <v>67.45</v>
      </c>
      <c r="H1435" s="5" t="s">
        <v>14</v>
      </c>
      <c r="I1435" s="5">
        <v>70.2</v>
      </c>
      <c r="J1435" s="5" t="s">
        <v>14</v>
      </c>
      <c r="K1435" s="7">
        <v>69.38</v>
      </c>
      <c r="L1435" s="8">
        <v>26</v>
      </c>
      <c r="M1435" s="9"/>
    </row>
    <row r="1436" s="1" customFormat="1" ht="20.1" customHeight="1" spans="1:13">
      <c r="A1436" s="4" t="str">
        <f>"37502022030110194023373"</f>
        <v>37502022030110194023373</v>
      </c>
      <c r="B1436" s="4" t="s">
        <v>1389</v>
      </c>
      <c r="C1436" s="4" t="s">
        <v>1413</v>
      </c>
      <c r="D1436" s="4" t="str">
        <f>"20220294819"</f>
        <v>20220294819</v>
      </c>
      <c r="E1436" s="4" t="str">
        <f t="shared" si="283"/>
        <v>48</v>
      </c>
      <c r="F1436" s="4" t="str">
        <f>"19"</f>
        <v>19</v>
      </c>
      <c r="G1436" s="5">
        <v>61.82</v>
      </c>
      <c r="H1436" s="5" t="s">
        <v>14</v>
      </c>
      <c r="I1436" s="5">
        <v>71</v>
      </c>
      <c r="J1436" s="5" t="s">
        <v>14</v>
      </c>
      <c r="K1436" s="7">
        <v>68.25</v>
      </c>
      <c r="L1436" s="8">
        <v>27</v>
      </c>
      <c r="M1436" s="9"/>
    </row>
    <row r="1437" s="1" customFormat="1" ht="20.1" customHeight="1" spans="1:13">
      <c r="A1437" s="4" t="str">
        <f>"37502022022612180919071"</f>
        <v>37502022022612180919071</v>
      </c>
      <c r="B1437" s="4" t="s">
        <v>1389</v>
      </c>
      <c r="C1437" s="4" t="s">
        <v>1414</v>
      </c>
      <c r="D1437" s="4" t="str">
        <f>"20220294802"</f>
        <v>20220294802</v>
      </c>
      <c r="E1437" s="4" t="str">
        <f t="shared" si="283"/>
        <v>48</v>
      </c>
      <c r="F1437" s="4" t="str">
        <f>"02"</f>
        <v>02</v>
      </c>
      <c r="G1437" s="5">
        <v>70.5</v>
      </c>
      <c r="H1437" s="5" t="s">
        <v>14</v>
      </c>
      <c r="I1437" s="5">
        <v>64.6</v>
      </c>
      <c r="J1437" s="5" t="s">
        <v>14</v>
      </c>
      <c r="K1437" s="7">
        <v>66.37</v>
      </c>
      <c r="L1437" s="8">
        <v>28</v>
      </c>
      <c r="M1437" s="9"/>
    </row>
    <row r="1438" s="1" customFormat="1" ht="20.1" customHeight="1" spans="1:13">
      <c r="A1438" s="4" t="str">
        <f>"37502022022620420219633"</f>
        <v>37502022022620420219633</v>
      </c>
      <c r="B1438" s="4" t="s">
        <v>1389</v>
      </c>
      <c r="C1438" s="4" t="s">
        <v>1415</v>
      </c>
      <c r="D1438" s="4" t="str">
        <f>"20220294830"</f>
        <v>20220294830</v>
      </c>
      <c r="E1438" s="4" t="str">
        <f t="shared" si="283"/>
        <v>48</v>
      </c>
      <c r="F1438" s="4" t="str">
        <f>"30"</f>
        <v>30</v>
      </c>
      <c r="G1438" s="5">
        <v>66.38</v>
      </c>
      <c r="H1438" s="5" t="s">
        <v>14</v>
      </c>
      <c r="I1438" s="5">
        <v>65.8</v>
      </c>
      <c r="J1438" s="5" t="s">
        <v>14</v>
      </c>
      <c r="K1438" s="7">
        <v>65.97</v>
      </c>
      <c r="L1438" s="8">
        <v>29</v>
      </c>
      <c r="M1438" s="9"/>
    </row>
    <row r="1439" s="1" customFormat="1" ht="20.1" customHeight="1" spans="1:13">
      <c r="A1439" s="4" t="str">
        <f>"37502022022818402322851"</f>
        <v>37502022022818402322851</v>
      </c>
      <c r="B1439" s="4" t="s">
        <v>1389</v>
      </c>
      <c r="C1439" s="4" t="s">
        <v>1416</v>
      </c>
      <c r="D1439" s="4" t="str">
        <f>"20220294823"</f>
        <v>20220294823</v>
      </c>
      <c r="E1439" s="4" t="str">
        <f t="shared" si="283"/>
        <v>48</v>
      </c>
      <c r="F1439" s="4" t="str">
        <f>"23"</f>
        <v>23</v>
      </c>
      <c r="G1439" s="5">
        <v>68.02</v>
      </c>
      <c r="H1439" s="5" t="s">
        <v>14</v>
      </c>
      <c r="I1439" s="5">
        <v>63.9</v>
      </c>
      <c r="J1439" s="5" t="s">
        <v>14</v>
      </c>
      <c r="K1439" s="7">
        <v>65.14</v>
      </c>
      <c r="L1439" s="8">
        <v>30</v>
      </c>
      <c r="M1439" s="9"/>
    </row>
    <row r="1440" s="1" customFormat="1" ht="20.1" customHeight="1" spans="1:13">
      <c r="A1440" s="4" t="str">
        <f>"37502022022619572719587"</f>
        <v>37502022022619572719587</v>
      </c>
      <c r="B1440" s="4" t="s">
        <v>1389</v>
      </c>
      <c r="C1440" s="4" t="s">
        <v>1417</v>
      </c>
      <c r="D1440" s="4" t="str">
        <f>"20220294904"</f>
        <v>20220294904</v>
      </c>
      <c r="E1440" s="4" t="str">
        <f>"49"</f>
        <v>49</v>
      </c>
      <c r="F1440" s="4" t="str">
        <f>"04"</f>
        <v>04</v>
      </c>
      <c r="G1440" s="5">
        <v>0</v>
      </c>
      <c r="H1440" s="5" t="s">
        <v>74</v>
      </c>
      <c r="I1440" s="5">
        <v>0</v>
      </c>
      <c r="J1440" s="5" t="s">
        <v>74</v>
      </c>
      <c r="K1440" s="7">
        <v>0</v>
      </c>
      <c r="L1440" s="8">
        <v>31</v>
      </c>
      <c r="M1440" s="9"/>
    </row>
    <row r="1441" s="1" customFormat="1" ht="20.1" customHeight="1" spans="1:13">
      <c r="A1441" s="4" t="str">
        <f>"37502022022710383219963"</f>
        <v>37502022022710383219963</v>
      </c>
      <c r="B1441" s="4" t="s">
        <v>1389</v>
      </c>
      <c r="C1441" s="4" t="s">
        <v>1418</v>
      </c>
      <c r="D1441" s="4" t="str">
        <f>"20220294803"</f>
        <v>20220294803</v>
      </c>
      <c r="E1441" s="4" t="str">
        <f t="shared" ref="E1441:E1444" si="284">"48"</f>
        <v>48</v>
      </c>
      <c r="F1441" s="4" t="str">
        <f>"03"</f>
        <v>03</v>
      </c>
      <c r="G1441" s="5">
        <v>0</v>
      </c>
      <c r="H1441" s="5" t="s">
        <v>74</v>
      </c>
      <c r="I1441" s="5">
        <v>0</v>
      </c>
      <c r="J1441" s="5" t="s">
        <v>74</v>
      </c>
      <c r="K1441" s="7">
        <v>0</v>
      </c>
      <c r="L1441" s="8">
        <v>31</v>
      </c>
      <c r="M1441" s="9"/>
    </row>
    <row r="1442" s="1" customFormat="1" ht="20.1" customHeight="1" spans="1:13">
      <c r="A1442" s="4" t="str">
        <f>"37502022030109045823183"</f>
        <v>37502022030109045823183</v>
      </c>
      <c r="B1442" s="4" t="s">
        <v>1389</v>
      </c>
      <c r="C1442" s="4" t="s">
        <v>1419</v>
      </c>
      <c r="D1442" s="4" t="str">
        <f>"20220294812"</f>
        <v>20220294812</v>
      </c>
      <c r="E1442" s="4" t="str">
        <f t="shared" si="284"/>
        <v>48</v>
      </c>
      <c r="F1442" s="4" t="str">
        <f>"12"</f>
        <v>12</v>
      </c>
      <c r="G1442" s="5">
        <v>0</v>
      </c>
      <c r="H1442" s="5" t="s">
        <v>74</v>
      </c>
      <c r="I1442" s="5">
        <v>0</v>
      </c>
      <c r="J1442" s="5" t="s">
        <v>74</v>
      </c>
      <c r="K1442" s="7">
        <v>0</v>
      </c>
      <c r="L1442" s="8">
        <v>31</v>
      </c>
      <c r="M1442" s="9"/>
    </row>
    <row r="1443" s="1" customFormat="1" ht="20.1" customHeight="1" spans="1:13">
      <c r="A1443" s="4" t="str">
        <f>"37502022030110513123450"</f>
        <v>37502022030110513123450</v>
      </c>
      <c r="B1443" s="4" t="s">
        <v>1389</v>
      </c>
      <c r="C1443" s="4" t="s">
        <v>1420</v>
      </c>
      <c r="D1443" s="4" t="str">
        <f>"20220294828"</f>
        <v>20220294828</v>
      </c>
      <c r="E1443" s="4" t="str">
        <f t="shared" si="284"/>
        <v>48</v>
      </c>
      <c r="F1443" s="4" t="str">
        <f>"28"</f>
        <v>28</v>
      </c>
      <c r="G1443" s="5">
        <v>0</v>
      </c>
      <c r="H1443" s="5" t="s">
        <v>74</v>
      </c>
      <c r="I1443" s="5">
        <v>0</v>
      </c>
      <c r="J1443" s="5" t="s">
        <v>74</v>
      </c>
      <c r="K1443" s="7">
        <v>0</v>
      </c>
      <c r="L1443" s="8">
        <v>31</v>
      </c>
      <c r="M1443" s="9"/>
    </row>
    <row r="1444" s="1" customFormat="1" ht="20.1" customHeight="1" spans="1:13">
      <c r="A1444" s="4" t="str">
        <f>"37502022030111382823557"</f>
        <v>37502022030111382823557</v>
      </c>
      <c r="B1444" s="4" t="s">
        <v>1389</v>
      </c>
      <c r="C1444" s="4" t="s">
        <v>1421</v>
      </c>
      <c r="D1444" s="4" t="str">
        <f>"20220294810"</f>
        <v>20220294810</v>
      </c>
      <c r="E1444" s="4" t="str">
        <f t="shared" si="284"/>
        <v>48</v>
      </c>
      <c r="F1444" s="4" t="str">
        <f>"10"</f>
        <v>10</v>
      </c>
      <c r="G1444" s="5">
        <v>0</v>
      </c>
      <c r="H1444" s="5" t="s">
        <v>74</v>
      </c>
      <c r="I1444" s="5">
        <v>0</v>
      </c>
      <c r="J1444" s="5" t="s">
        <v>74</v>
      </c>
      <c r="K1444" s="7">
        <v>0</v>
      </c>
      <c r="L1444" s="8">
        <v>31</v>
      </c>
      <c r="M1444" s="9"/>
    </row>
    <row r="1445" s="1" customFormat="1" ht="20.1" customHeight="1" spans="1:13">
      <c r="A1445" s="4" t="str">
        <f>"37502022030113495723780"</f>
        <v>37502022030113495723780</v>
      </c>
      <c r="B1445" s="4" t="s">
        <v>1389</v>
      </c>
      <c r="C1445" s="4" t="s">
        <v>1422</v>
      </c>
      <c r="D1445" s="4" t="str">
        <f>"20220294730"</f>
        <v>20220294730</v>
      </c>
      <c r="E1445" s="4" t="str">
        <f>"47"</f>
        <v>47</v>
      </c>
      <c r="F1445" s="4" t="str">
        <f>"30"</f>
        <v>30</v>
      </c>
      <c r="G1445" s="5">
        <v>0</v>
      </c>
      <c r="H1445" s="5" t="s">
        <v>74</v>
      </c>
      <c r="I1445" s="5">
        <v>0</v>
      </c>
      <c r="J1445" s="5" t="s">
        <v>74</v>
      </c>
      <c r="K1445" s="7">
        <v>0</v>
      </c>
      <c r="L1445" s="8">
        <v>31</v>
      </c>
      <c r="M1445" s="9"/>
    </row>
    <row r="1446" s="1" customFormat="1" ht="20.1" customHeight="1" spans="1:13">
      <c r="A1446" s="4" t="str">
        <f>"37502022030114423923849"</f>
        <v>37502022030114423923849</v>
      </c>
      <c r="B1446" s="4" t="s">
        <v>1389</v>
      </c>
      <c r="C1446" s="4" t="s">
        <v>1423</v>
      </c>
      <c r="D1446" s="4" t="str">
        <f>"20220294818"</f>
        <v>20220294818</v>
      </c>
      <c r="E1446" s="4" t="str">
        <f t="shared" ref="E1446:E1450" si="285">"48"</f>
        <v>48</v>
      </c>
      <c r="F1446" s="4" t="str">
        <f>"18"</f>
        <v>18</v>
      </c>
      <c r="G1446" s="5">
        <v>0</v>
      </c>
      <c r="H1446" s="5" t="s">
        <v>74</v>
      </c>
      <c r="I1446" s="5">
        <v>0</v>
      </c>
      <c r="J1446" s="5" t="s">
        <v>74</v>
      </c>
      <c r="K1446" s="7">
        <v>0</v>
      </c>
      <c r="L1446" s="8">
        <v>31</v>
      </c>
      <c r="M1446" s="9"/>
    </row>
    <row r="1447" s="1" customFormat="1" ht="20.1" customHeight="1" spans="1:13">
      <c r="A1447" s="4" t="str">
        <f>"37502022030116355424028"</f>
        <v>37502022030116355424028</v>
      </c>
      <c r="B1447" s="4" t="s">
        <v>1389</v>
      </c>
      <c r="C1447" s="4" t="s">
        <v>1424</v>
      </c>
      <c r="D1447" s="4" t="str">
        <f>"20220294906"</f>
        <v>20220294906</v>
      </c>
      <c r="E1447" s="4" t="str">
        <f t="shared" ref="E1447:E1451" si="286">"49"</f>
        <v>49</v>
      </c>
      <c r="F1447" s="4" t="str">
        <f>"06"</f>
        <v>06</v>
      </c>
      <c r="G1447" s="5">
        <v>0</v>
      </c>
      <c r="H1447" s="5" t="s">
        <v>74</v>
      </c>
      <c r="I1447" s="5">
        <v>0</v>
      </c>
      <c r="J1447" s="5" t="s">
        <v>74</v>
      </c>
      <c r="K1447" s="7">
        <v>0</v>
      </c>
      <c r="L1447" s="8">
        <v>31</v>
      </c>
      <c r="M1447" s="9"/>
    </row>
    <row r="1448" s="1" customFormat="1" ht="20.1" customHeight="1" spans="1:13">
      <c r="A1448" s="4" t="str">
        <f>"37502022030120120924427"</f>
        <v>37502022030120120924427</v>
      </c>
      <c r="B1448" s="4" t="s">
        <v>1389</v>
      </c>
      <c r="C1448" s="4" t="s">
        <v>1425</v>
      </c>
      <c r="D1448" s="4" t="str">
        <f>"20220294907"</f>
        <v>20220294907</v>
      </c>
      <c r="E1448" s="4" t="str">
        <f t="shared" si="286"/>
        <v>49</v>
      </c>
      <c r="F1448" s="4" t="str">
        <f>"07"</f>
        <v>07</v>
      </c>
      <c r="G1448" s="5">
        <v>0</v>
      </c>
      <c r="H1448" s="5" t="s">
        <v>74</v>
      </c>
      <c r="I1448" s="5">
        <v>0</v>
      </c>
      <c r="J1448" s="5" t="s">
        <v>74</v>
      </c>
      <c r="K1448" s="7">
        <v>0</v>
      </c>
      <c r="L1448" s="8">
        <v>31</v>
      </c>
      <c r="M1448" s="9"/>
    </row>
    <row r="1449" s="1" customFormat="1" ht="20.1" customHeight="1" spans="1:13">
      <c r="A1449" s="4" t="str">
        <f>"37502022030121552824633"</f>
        <v>37502022030121552824633</v>
      </c>
      <c r="B1449" s="4" t="s">
        <v>1389</v>
      </c>
      <c r="C1449" s="4" t="s">
        <v>1426</v>
      </c>
      <c r="D1449" s="4" t="str">
        <f>"20220294824"</f>
        <v>20220294824</v>
      </c>
      <c r="E1449" s="4" t="str">
        <f t="shared" si="285"/>
        <v>48</v>
      </c>
      <c r="F1449" s="4" t="str">
        <f>"24"</f>
        <v>24</v>
      </c>
      <c r="G1449" s="5">
        <v>0</v>
      </c>
      <c r="H1449" s="5" t="s">
        <v>74</v>
      </c>
      <c r="I1449" s="5">
        <v>0</v>
      </c>
      <c r="J1449" s="5" t="s">
        <v>74</v>
      </c>
      <c r="K1449" s="7">
        <v>0</v>
      </c>
      <c r="L1449" s="8">
        <v>31</v>
      </c>
      <c r="M1449" s="9"/>
    </row>
    <row r="1450" s="1" customFormat="1" ht="20.1" customHeight="1" spans="1:13">
      <c r="A1450" s="4" t="str">
        <f>"37502022030208552224864"</f>
        <v>37502022030208552224864</v>
      </c>
      <c r="B1450" s="4" t="s">
        <v>1389</v>
      </c>
      <c r="C1450" s="4" t="s">
        <v>1427</v>
      </c>
      <c r="D1450" s="4" t="str">
        <f>"20220294801"</f>
        <v>20220294801</v>
      </c>
      <c r="E1450" s="4" t="str">
        <f t="shared" si="285"/>
        <v>48</v>
      </c>
      <c r="F1450" s="4" t="str">
        <f>"01"</f>
        <v>01</v>
      </c>
      <c r="G1450" s="5">
        <v>0</v>
      </c>
      <c r="H1450" s="5" t="s">
        <v>74</v>
      </c>
      <c r="I1450" s="5">
        <v>0</v>
      </c>
      <c r="J1450" s="5" t="s">
        <v>74</v>
      </c>
      <c r="K1450" s="7">
        <v>0</v>
      </c>
      <c r="L1450" s="8">
        <v>31</v>
      </c>
      <c r="M1450" s="9"/>
    </row>
    <row r="1451" s="1" customFormat="1" ht="20.1" customHeight="1" spans="1:13">
      <c r="A1451" s="4" t="str">
        <f>"37502022030211282425128"</f>
        <v>37502022030211282425128</v>
      </c>
      <c r="B1451" s="4" t="s">
        <v>1389</v>
      </c>
      <c r="C1451" s="4" t="s">
        <v>28</v>
      </c>
      <c r="D1451" s="4" t="str">
        <f>"20220294912"</f>
        <v>20220294912</v>
      </c>
      <c r="E1451" s="4" t="str">
        <f t="shared" si="286"/>
        <v>49</v>
      </c>
      <c r="F1451" s="4" t="str">
        <f>"12"</f>
        <v>12</v>
      </c>
      <c r="G1451" s="5">
        <v>0</v>
      </c>
      <c r="H1451" s="5" t="s">
        <v>74</v>
      </c>
      <c r="I1451" s="5">
        <v>0</v>
      </c>
      <c r="J1451" s="5" t="s">
        <v>74</v>
      </c>
      <c r="K1451" s="7">
        <v>0</v>
      </c>
      <c r="L1451" s="8">
        <v>31</v>
      </c>
      <c r="M1451" s="9"/>
    </row>
    <row r="1452" s="1" customFormat="1" ht="20.1" customHeight="1" spans="1:13">
      <c r="A1452" s="4" t="str">
        <f>"37502022030212511425243"</f>
        <v>37502022030212511425243</v>
      </c>
      <c r="B1452" s="4" t="s">
        <v>1389</v>
      </c>
      <c r="C1452" s="4" t="s">
        <v>1428</v>
      </c>
      <c r="D1452" s="4" t="str">
        <f>"20220294816"</f>
        <v>20220294816</v>
      </c>
      <c r="E1452" s="4" t="str">
        <f>"48"</f>
        <v>48</v>
      </c>
      <c r="F1452" s="4" t="str">
        <f>"16"</f>
        <v>16</v>
      </c>
      <c r="G1452" s="5">
        <v>0</v>
      </c>
      <c r="H1452" s="5" t="s">
        <v>74</v>
      </c>
      <c r="I1452" s="5">
        <v>0</v>
      </c>
      <c r="J1452" s="5" t="s">
        <v>74</v>
      </c>
      <c r="K1452" s="7">
        <v>0</v>
      </c>
      <c r="L1452" s="8">
        <v>31</v>
      </c>
      <c r="M1452" s="9"/>
    </row>
    <row r="1453" s="1" customFormat="1" ht="20.1" customHeight="1" spans="1:13">
      <c r="A1453" s="4" t="str">
        <f>"37502022030213044725269"</f>
        <v>37502022030213044725269</v>
      </c>
      <c r="B1453" s="4" t="s">
        <v>1389</v>
      </c>
      <c r="C1453" s="4" t="s">
        <v>1429</v>
      </c>
      <c r="D1453" s="4" t="str">
        <f>"20220294805"</f>
        <v>20220294805</v>
      </c>
      <c r="E1453" s="4" t="str">
        <f>"48"</f>
        <v>48</v>
      </c>
      <c r="F1453" s="4" t="str">
        <f>"05"</f>
        <v>05</v>
      </c>
      <c r="G1453" s="5">
        <v>0</v>
      </c>
      <c r="H1453" s="5" t="s">
        <v>74</v>
      </c>
      <c r="I1453" s="5">
        <v>0</v>
      </c>
      <c r="J1453" s="5" t="s">
        <v>74</v>
      </c>
      <c r="K1453" s="7">
        <v>0</v>
      </c>
      <c r="L1453" s="8">
        <v>31</v>
      </c>
      <c r="M1453" s="9"/>
    </row>
    <row r="1454" s="1" customFormat="1" ht="20.1" customHeight="1" spans="1:13">
      <c r="A1454" s="4" t="str">
        <f>"37502022030213190525291"</f>
        <v>37502022030213190525291</v>
      </c>
      <c r="B1454" s="4" t="s">
        <v>1389</v>
      </c>
      <c r="C1454" s="4" t="s">
        <v>1430</v>
      </c>
      <c r="D1454" s="4" t="str">
        <f>"20220294909"</f>
        <v>20220294909</v>
      </c>
      <c r="E1454" s="4" t="str">
        <f t="shared" ref="E1454:E1459" si="287">"49"</f>
        <v>49</v>
      </c>
      <c r="F1454" s="4" t="str">
        <f>"09"</f>
        <v>09</v>
      </c>
      <c r="G1454" s="5">
        <v>0</v>
      </c>
      <c r="H1454" s="5" t="s">
        <v>74</v>
      </c>
      <c r="I1454" s="5">
        <v>0</v>
      </c>
      <c r="J1454" s="5" t="s">
        <v>74</v>
      </c>
      <c r="K1454" s="7">
        <v>0</v>
      </c>
      <c r="L1454" s="8">
        <v>31</v>
      </c>
      <c r="M1454" s="9"/>
    </row>
    <row r="1455" s="1" customFormat="1" ht="20.1" customHeight="1" spans="1:13">
      <c r="A1455" s="4" t="str">
        <f>"37502022022610111218855"</f>
        <v>37502022022610111218855</v>
      </c>
      <c r="B1455" s="4" t="s">
        <v>1431</v>
      </c>
      <c r="C1455" s="4" t="s">
        <v>1432</v>
      </c>
      <c r="D1455" s="4" t="str">
        <f>"20220305008"</f>
        <v>20220305008</v>
      </c>
      <c r="E1455" s="4" t="str">
        <f>"50"</f>
        <v>50</v>
      </c>
      <c r="F1455" s="4" t="str">
        <f>"08"</f>
        <v>08</v>
      </c>
      <c r="G1455" s="5">
        <v>78.41</v>
      </c>
      <c r="H1455" s="5" t="s">
        <v>14</v>
      </c>
      <c r="I1455" s="5">
        <v>85.8</v>
      </c>
      <c r="J1455" s="5" t="s">
        <v>14</v>
      </c>
      <c r="K1455" s="7">
        <v>83.58</v>
      </c>
      <c r="L1455" s="8">
        <v>1</v>
      </c>
      <c r="M1455" s="9"/>
    </row>
    <row r="1456" s="1" customFormat="1" ht="20.1" customHeight="1" spans="1:13">
      <c r="A1456" s="4" t="str">
        <f>"37502022022609365318738"</f>
        <v>37502022022609365318738</v>
      </c>
      <c r="B1456" s="4" t="s">
        <v>1431</v>
      </c>
      <c r="C1456" s="4" t="s">
        <v>1433</v>
      </c>
      <c r="D1456" s="4" t="str">
        <f>"20220304923"</f>
        <v>20220304923</v>
      </c>
      <c r="E1456" s="4" t="str">
        <f t="shared" si="287"/>
        <v>49</v>
      </c>
      <c r="F1456" s="4" t="str">
        <f>"23"</f>
        <v>23</v>
      </c>
      <c r="G1456" s="5">
        <v>76.04</v>
      </c>
      <c r="H1456" s="5" t="s">
        <v>14</v>
      </c>
      <c r="I1456" s="5">
        <v>78.4</v>
      </c>
      <c r="J1456" s="5" t="s">
        <v>14</v>
      </c>
      <c r="K1456" s="7">
        <v>77.69</v>
      </c>
      <c r="L1456" s="8">
        <v>2</v>
      </c>
      <c r="M1456" s="9"/>
    </row>
    <row r="1457" s="1" customFormat="1" ht="20.1" customHeight="1" spans="1:13">
      <c r="A1457" s="4" t="str">
        <f>"37502022030201243424773"</f>
        <v>37502022030201243424773</v>
      </c>
      <c r="B1457" s="4" t="s">
        <v>1431</v>
      </c>
      <c r="C1457" s="4" t="s">
        <v>1434</v>
      </c>
      <c r="D1457" s="4" t="str">
        <f>"20220304917"</f>
        <v>20220304917</v>
      </c>
      <c r="E1457" s="4" t="str">
        <f t="shared" si="287"/>
        <v>49</v>
      </c>
      <c r="F1457" s="4" t="str">
        <f>"17"</f>
        <v>17</v>
      </c>
      <c r="G1457" s="5">
        <v>79.22</v>
      </c>
      <c r="H1457" s="5" t="s">
        <v>14</v>
      </c>
      <c r="I1457" s="5">
        <v>74.8</v>
      </c>
      <c r="J1457" s="5" t="s">
        <v>14</v>
      </c>
      <c r="K1457" s="7">
        <v>76.13</v>
      </c>
      <c r="L1457" s="8">
        <v>3</v>
      </c>
      <c r="M1457" s="9"/>
    </row>
    <row r="1458" s="1" customFormat="1" ht="20.1" customHeight="1" spans="1:13">
      <c r="A1458" s="4" t="str">
        <f>"37502022022709090319895"</f>
        <v>37502022022709090319895</v>
      </c>
      <c r="B1458" s="4" t="s">
        <v>1431</v>
      </c>
      <c r="C1458" s="4" t="s">
        <v>1435</v>
      </c>
      <c r="D1458" s="4" t="str">
        <f>"20220304921"</f>
        <v>20220304921</v>
      </c>
      <c r="E1458" s="4" t="str">
        <f t="shared" si="287"/>
        <v>49</v>
      </c>
      <c r="F1458" s="4" t="str">
        <f>"21"</f>
        <v>21</v>
      </c>
      <c r="G1458" s="5">
        <v>74.57</v>
      </c>
      <c r="H1458" s="5" t="s">
        <v>14</v>
      </c>
      <c r="I1458" s="5">
        <v>75.9</v>
      </c>
      <c r="J1458" s="5" t="s">
        <v>14</v>
      </c>
      <c r="K1458" s="7">
        <v>75.5</v>
      </c>
      <c r="L1458" s="8">
        <v>4</v>
      </c>
      <c r="M1458" s="9"/>
    </row>
    <row r="1459" s="1" customFormat="1" ht="20.1" customHeight="1" spans="1:13">
      <c r="A1459" s="4" t="str">
        <f>"37502022030110502723449"</f>
        <v>37502022030110502723449</v>
      </c>
      <c r="B1459" s="4" t="s">
        <v>1431</v>
      </c>
      <c r="C1459" s="4" t="s">
        <v>791</v>
      </c>
      <c r="D1459" s="4" t="str">
        <f>"20220304927"</f>
        <v>20220304927</v>
      </c>
      <c r="E1459" s="4" t="str">
        <f t="shared" si="287"/>
        <v>49</v>
      </c>
      <c r="F1459" s="4" t="str">
        <f>"27"</f>
        <v>27</v>
      </c>
      <c r="G1459" s="5">
        <v>75.66</v>
      </c>
      <c r="H1459" s="5" t="s">
        <v>14</v>
      </c>
      <c r="I1459" s="5">
        <v>74.4</v>
      </c>
      <c r="J1459" s="5" t="s">
        <v>14</v>
      </c>
      <c r="K1459" s="7">
        <v>74.78</v>
      </c>
      <c r="L1459" s="8">
        <v>5</v>
      </c>
      <c r="M1459" s="9"/>
    </row>
    <row r="1460" s="1" customFormat="1" ht="20.1" customHeight="1" spans="1:13">
      <c r="A1460" s="4" t="str">
        <f>"37502022030119030024298"</f>
        <v>37502022030119030024298</v>
      </c>
      <c r="B1460" s="4" t="s">
        <v>1431</v>
      </c>
      <c r="C1460" s="4" t="s">
        <v>1436</v>
      </c>
      <c r="D1460" s="4" t="str">
        <f>"20220305005"</f>
        <v>20220305005</v>
      </c>
      <c r="E1460" s="4" t="str">
        <f>"50"</f>
        <v>50</v>
      </c>
      <c r="F1460" s="4" t="str">
        <f>"05"</f>
        <v>05</v>
      </c>
      <c r="G1460" s="5">
        <v>79.06</v>
      </c>
      <c r="H1460" s="5" t="s">
        <v>14</v>
      </c>
      <c r="I1460" s="5">
        <v>72.8</v>
      </c>
      <c r="J1460" s="5" t="s">
        <v>14</v>
      </c>
      <c r="K1460" s="7">
        <v>74.68</v>
      </c>
      <c r="L1460" s="8">
        <v>6</v>
      </c>
      <c r="M1460" s="9"/>
    </row>
    <row r="1461" s="1" customFormat="1" ht="20.1" customHeight="1" spans="1:13">
      <c r="A1461" s="4" t="str">
        <f>"37502022030117475924164"</f>
        <v>37502022030117475924164</v>
      </c>
      <c r="B1461" s="4" t="s">
        <v>1431</v>
      </c>
      <c r="C1461" s="4" t="s">
        <v>777</v>
      </c>
      <c r="D1461" s="4" t="str">
        <f>"20220304929"</f>
        <v>20220304929</v>
      </c>
      <c r="E1461" s="4" t="str">
        <f t="shared" ref="E1461:E1465" si="288">"49"</f>
        <v>49</v>
      </c>
      <c r="F1461" s="4" t="str">
        <f>"29"</f>
        <v>29</v>
      </c>
      <c r="G1461" s="5">
        <v>74.65</v>
      </c>
      <c r="H1461" s="5" t="s">
        <v>14</v>
      </c>
      <c r="I1461" s="5">
        <v>72.9</v>
      </c>
      <c r="J1461" s="5" t="s">
        <v>14</v>
      </c>
      <c r="K1461" s="7">
        <v>73.43</v>
      </c>
      <c r="L1461" s="8">
        <v>7</v>
      </c>
      <c r="M1461" s="9"/>
    </row>
    <row r="1462" s="1" customFormat="1" ht="20.1" customHeight="1" spans="1:13">
      <c r="A1462" s="4" t="str">
        <f>"37502022030110172623364"</f>
        <v>37502022030110172623364</v>
      </c>
      <c r="B1462" s="4" t="s">
        <v>1431</v>
      </c>
      <c r="C1462" s="4" t="s">
        <v>1437</v>
      </c>
      <c r="D1462" s="4" t="str">
        <f>"20220304913"</f>
        <v>20220304913</v>
      </c>
      <c r="E1462" s="4" t="str">
        <f t="shared" si="288"/>
        <v>49</v>
      </c>
      <c r="F1462" s="4" t="str">
        <f>"13"</f>
        <v>13</v>
      </c>
      <c r="G1462" s="5">
        <v>74.22</v>
      </c>
      <c r="H1462" s="5" t="s">
        <v>14</v>
      </c>
      <c r="I1462" s="5">
        <v>72.7</v>
      </c>
      <c r="J1462" s="5" t="s">
        <v>14</v>
      </c>
      <c r="K1462" s="7">
        <v>73.16</v>
      </c>
      <c r="L1462" s="8">
        <v>8</v>
      </c>
      <c r="M1462" s="9"/>
    </row>
    <row r="1463" s="1" customFormat="1" ht="20.1" customHeight="1" spans="1:13">
      <c r="A1463" s="4" t="str">
        <f>"37502022022612441619121"</f>
        <v>37502022022612441619121</v>
      </c>
      <c r="B1463" s="4" t="s">
        <v>1431</v>
      </c>
      <c r="C1463" s="4" t="s">
        <v>1438</v>
      </c>
      <c r="D1463" s="4" t="str">
        <f>"20220305013"</f>
        <v>20220305013</v>
      </c>
      <c r="E1463" s="4" t="str">
        <f t="shared" ref="E1463:E1467" si="289">"50"</f>
        <v>50</v>
      </c>
      <c r="F1463" s="4" t="str">
        <f>"13"</f>
        <v>13</v>
      </c>
      <c r="G1463" s="5">
        <v>74.05</v>
      </c>
      <c r="H1463" s="5" t="s">
        <v>14</v>
      </c>
      <c r="I1463" s="5">
        <v>69.4</v>
      </c>
      <c r="J1463" s="5" t="s">
        <v>14</v>
      </c>
      <c r="K1463" s="7">
        <v>70.8</v>
      </c>
      <c r="L1463" s="8">
        <v>9</v>
      </c>
      <c r="M1463" s="9"/>
    </row>
    <row r="1464" s="1" customFormat="1" ht="20.1" customHeight="1" spans="1:13">
      <c r="A1464" s="4" t="str">
        <f>"37502022030215511325500"</f>
        <v>37502022030215511325500</v>
      </c>
      <c r="B1464" s="4" t="s">
        <v>1431</v>
      </c>
      <c r="C1464" s="4" t="s">
        <v>1322</v>
      </c>
      <c r="D1464" s="4" t="str">
        <f>"20220304916"</f>
        <v>20220304916</v>
      </c>
      <c r="E1464" s="4" t="str">
        <f t="shared" si="288"/>
        <v>49</v>
      </c>
      <c r="F1464" s="4" t="str">
        <f>"16"</f>
        <v>16</v>
      </c>
      <c r="G1464" s="5">
        <v>74.45</v>
      </c>
      <c r="H1464" s="5" t="s">
        <v>14</v>
      </c>
      <c r="I1464" s="5">
        <v>67.4</v>
      </c>
      <c r="J1464" s="5" t="s">
        <v>14</v>
      </c>
      <c r="K1464" s="7">
        <v>69.52</v>
      </c>
      <c r="L1464" s="8">
        <v>10</v>
      </c>
      <c r="M1464" s="9"/>
    </row>
    <row r="1465" s="1" customFormat="1" ht="20.1" customHeight="1" spans="1:13">
      <c r="A1465" s="4" t="str">
        <f>"37502022030111300223537"</f>
        <v>37502022030111300223537</v>
      </c>
      <c r="B1465" s="4" t="s">
        <v>1431</v>
      </c>
      <c r="C1465" s="4" t="s">
        <v>1439</v>
      </c>
      <c r="D1465" s="4" t="str">
        <f>"20220304915"</f>
        <v>20220304915</v>
      </c>
      <c r="E1465" s="4" t="str">
        <f t="shared" si="288"/>
        <v>49</v>
      </c>
      <c r="F1465" s="4" t="str">
        <f>"15"</f>
        <v>15</v>
      </c>
      <c r="G1465" s="5">
        <v>68.53</v>
      </c>
      <c r="H1465" s="5" t="s">
        <v>14</v>
      </c>
      <c r="I1465" s="5">
        <v>69.8</v>
      </c>
      <c r="J1465" s="5" t="s">
        <v>14</v>
      </c>
      <c r="K1465" s="7">
        <v>69.42</v>
      </c>
      <c r="L1465" s="8">
        <v>11</v>
      </c>
      <c r="M1465" s="9"/>
    </row>
    <row r="1466" s="1" customFormat="1" ht="20.1" customHeight="1" spans="1:13">
      <c r="A1466" s="4" t="str">
        <f>"37502022030120541224520"</f>
        <v>37502022030120541224520</v>
      </c>
      <c r="B1466" s="4" t="s">
        <v>1431</v>
      </c>
      <c r="C1466" s="4" t="s">
        <v>1440</v>
      </c>
      <c r="D1466" s="4" t="str">
        <f>"20220305004"</f>
        <v>20220305004</v>
      </c>
      <c r="E1466" s="4" t="str">
        <f t="shared" si="289"/>
        <v>50</v>
      </c>
      <c r="F1466" s="4" t="str">
        <f>"04"</f>
        <v>04</v>
      </c>
      <c r="G1466" s="5">
        <v>70.9</v>
      </c>
      <c r="H1466" s="5" t="s">
        <v>14</v>
      </c>
      <c r="I1466" s="5">
        <v>68.3</v>
      </c>
      <c r="J1466" s="5" t="s">
        <v>14</v>
      </c>
      <c r="K1466" s="7">
        <v>69.08</v>
      </c>
      <c r="L1466" s="8">
        <v>12</v>
      </c>
      <c r="M1466" s="9"/>
    </row>
    <row r="1467" s="1" customFormat="1" ht="20.1" customHeight="1" spans="1:13">
      <c r="A1467" s="4" t="str">
        <f>"37502022030112400623655"</f>
        <v>37502022030112400623655</v>
      </c>
      <c r="B1467" s="4" t="s">
        <v>1431</v>
      </c>
      <c r="C1467" s="4" t="s">
        <v>1441</v>
      </c>
      <c r="D1467" s="4" t="str">
        <f>"20220305006"</f>
        <v>20220305006</v>
      </c>
      <c r="E1467" s="4" t="str">
        <f t="shared" si="289"/>
        <v>50</v>
      </c>
      <c r="F1467" s="4" t="str">
        <f>"06"</f>
        <v>06</v>
      </c>
      <c r="G1467" s="5">
        <v>66.98</v>
      </c>
      <c r="H1467" s="5" t="s">
        <v>14</v>
      </c>
      <c r="I1467" s="5">
        <v>69.8</v>
      </c>
      <c r="J1467" s="5" t="s">
        <v>14</v>
      </c>
      <c r="K1467" s="7">
        <v>68.95</v>
      </c>
      <c r="L1467" s="8">
        <v>13</v>
      </c>
      <c r="M1467" s="9"/>
    </row>
    <row r="1468" s="1" customFormat="1" ht="20.1" customHeight="1" spans="1:13">
      <c r="A1468" s="4" t="str">
        <f>"37502022030123302924742"</f>
        <v>37502022030123302924742</v>
      </c>
      <c r="B1468" s="4" t="s">
        <v>1431</v>
      </c>
      <c r="C1468" s="4" t="s">
        <v>1442</v>
      </c>
      <c r="D1468" s="4" t="str">
        <f>"20220304914"</f>
        <v>20220304914</v>
      </c>
      <c r="E1468" s="4" t="str">
        <f t="shared" ref="E1468:E1472" si="290">"49"</f>
        <v>49</v>
      </c>
      <c r="F1468" s="4" t="str">
        <f>"14"</f>
        <v>14</v>
      </c>
      <c r="G1468" s="5">
        <v>72.73</v>
      </c>
      <c r="H1468" s="5" t="s">
        <v>14</v>
      </c>
      <c r="I1468" s="5">
        <v>66.9</v>
      </c>
      <c r="J1468" s="5" t="s">
        <v>14</v>
      </c>
      <c r="K1468" s="7">
        <v>68.65</v>
      </c>
      <c r="L1468" s="8">
        <v>14</v>
      </c>
      <c r="M1468" s="9"/>
    </row>
    <row r="1469" s="1" customFormat="1" ht="20.1" customHeight="1" spans="1:13">
      <c r="A1469" s="4" t="str">
        <f>"37502022030120142724430"</f>
        <v>37502022030120142724430</v>
      </c>
      <c r="B1469" s="4" t="s">
        <v>1431</v>
      </c>
      <c r="C1469" s="4" t="s">
        <v>1443</v>
      </c>
      <c r="D1469" s="4" t="str">
        <f>"20220304920"</f>
        <v>20220304920</v>
      </c>
      <c r="E1469" s="4" t="str">
        <f t="shared" si="290"/>
        <v>49</v>
      </c>
      <c r="F1469" s="4" t="str">
        <f>"20"</f>
        <v>20</v>
      </c>
      <c r="G1469" s="5">
        <v>70.13</v>
      </c>
      <c r="H1469" s="5" t="s">
        <v>14</v>
      </c>
      <c r="I1469" s="5">
        <v>67.7</v>
      </c>
      <c r="J1469" s="5" t="s">
        <v>14</v>
      </c>
      <c r="K1469" s="7">
        <v>68.43</v>
      </c>
      <c r="L1469" s="8">
        <v>15</v>
      </c>
      <c r="M1469" s="9"/>
    </row>
    <row r="1470" s="1" customFormat="1" ht="20.1" customHeight="1" spans="1:13">
      <c r="A1470" s="4" t="str">
        <f>"37502022030214251525388"</f>
        <v>37502022030214251525388</v>
      </c>
      <c r="B1470" s="4" t="s">
        <v>1431</v>
      </c>
      <c r="C1470" s="4" t="s">
        <v>1444</v>
      </c>
      <c r="D1470" s="4" t="str">
        <f>"20220304930"</f>
        <v>20220304930</v>
      </c>
      <c r="E1470" s="4" t="str">
        <f t="shared" si="290"/>
        <v>49</v>
      </c>
      <c r="F1470" s="4" t="str">
        <f>"30"</f>
        <v>30</v>
      </c>
      <c r="G1470" s="5">
        <v>65.28</v>
      </c>
      <c r="H1470" s="5" t="s">
        <v>14</v>
      </c>
      <c r="I1470" s="5">
        <v>68.6</v>
      </c>
      <c r="J1470" s="5" t="s">
        <v>14</v>
      </c>
      <c r="K1470" s="7">
        <v>67.6</v>
      </c>
      <c r="L1470" s="8">
        <v>16</v>
      </c>
      <c r="M1470" s="9"/>
    </row>
    <row r="1471" s="1" customFormat="1" ht="20.1" customHeight="1" spans="1:13">
      <c r="A1471" s="4" t="str">
        <f>"37502022030115233223913"</f>
        <v>37502022030115233223913</v>
      </c>
      <c r="B1471" s="4" t="s">
        <v>1431</v>
      </c>
      <c r="C1471" s="4" t="s">
        <v>1445</v>
      </c>
      <c r="D1471" s="4" t="str">
        <f>"20220304919"</f>
        <v>20220304919</v>
      </c>
      <c r="E1471" s="4" t="str">
        <f t="shared" si="290"/>
        <v>49</v>
      </c>
      <c r="F1471" s="4" t="str">
        <f>"19"</f>
        <v>19</v>
      </c>
      <c r="G1471" s="5">
        <v>65.46</v>
      </c>
      <c r="H1471" s="5" t="s">
        <v>14</v>
      </c>
      <c r="I1471" s="5">
        <v>68.3</v>
      </c>
      <c r="J1471" s="5" t="s">
        <v>14</v>
      </c>
      <c r="K1471" s="7">
        <v>67.45</v>
      </c>
      <c r="L1471" s="8">
        <v>17</v>
      </c>
      <c r="M1471" s="9"/>
    </row>
    <row r="1472" s="1" customFormat="1" ht="20.1" customHeight="1" spans="1:13">
      <c r="A1472" s="4" t="str">
        <f>"37502022022818542922863"</f>
        <v>37502022022818542922863</v>
      </c>
      <c r="B1472" s="4" t="s">
        <v>1431</v>
      </c>
      <c r="C1472" s="4" t="s">
        <v>1446</v>
      </c>
      <c r="D1472" s="4" t="str">
        <f>"20220304925"</f>
        <v>20220304925</v>
      </c>
      <c r="E1472" s="4" t="str">
        <f t="shared" si="290"/>
        <v>49</v>
      </c>
      <c r="F1472" s="4" t="str">
        <f>"25"</f>
        <v>25</v>
      </c>
      <c r="G1472" s="5">
        <v>71.72</v>
      </c>
      <c r="H1472" s="5" t="s">
        <v>14</v>
      </c>
      <c r="I1472" s="5">
        <v>65.1</v>
      </c>
      <c r="J1472" s="5" t="s">
        <v>14</v>
      </c>
      <c r="K1472" s="7">
        <v>67.09</v>
      </c>
      <c r="L1472" s="8">
        <v>18</v>
      </c>
      <c r="M1472" s="9"/>
    </row>
    <row r="1473" s="1" customFormat="1" ht="20.1" customHeight="1" spans="1:13">
      <c r="A1473" s="4" t="str">
        <f>"37502022030209153324900"</f>
        <v>37502022030209153324900</v>
      </c>
      <c r="B1473" s="4" t="s">
        <v>1431</v>
      </c>
      <c r="C1473" s="4" t="s">
        <v>1447</v>
      </c>
      <c r="D1473" s="4" t="str">
        <f>"20220305007"</f>
        <v>20220305007</v>
      </c>
      <c r="E1473" s="4" t="str">
        <f t="shared" ref="E1473:E1476" si="291">"50"</f>
        <v>50</v>
      </c>
      <c r="F1473" s="4" t="str">
        <f>"07"</f>
        <v>07</v>
      </c>
      <c r="G1473" s="5">
        <v>66.2</v>
      </c>
      <c r="H1473" s="5" t="s">
        <v>14</v>
      </c>
      <c r="I1473" s="5">
        <v>64.5</v>
      </c>
      <c r="J1473" s="5" t="s">
        <v>14</v>
      </c>
      <c r="K1473" s="7">
        <v>65.01</v>
      </c>
      <c r="L1473" s="8">
        <v>19</v>
      </c>
      <c r="M1473" s="9"/>
    </row>
    <row r="1474" s="1" customFormat="1" ht="20.1" customHeight="1" spans="1:13">
      <c r="A1474" s="4" t="str">
        <f>"37502022022811543321849"</f>
        <v>37502022022811543321849</v>
      </c>
      <c r="B1474" s="4" t="s">
        <v>1431</v>
      </c>
      <c r="C1474" s="4" t="s">
        <v>1448</v>
      </c>
      <c r="D1474" s="4" t="str">
        <f>"20220304926"</f>
        <v>20220304926</v>
      </c>
      <c r="E1474" s="4" t="str">
        <f t="shared" ref="E1474:E1479" si="292">"49"</f>
        <v>49</v>
      </c>
      <c r="F1474" s="4" t="str">
        <f>"26"</f>
        <v>26</v>
      </c>
      <c r="G1474" s="5">
        <v>70.07</v>
      </c>
      <c r="H1474" s="5" t="s">
        <v>14</v>
      </c>
      <c r="I1474" s="5">
        <v>61.5</v>
      </c>
      <c r="J1474" s="5" t="s">
        <v>14</v>
      </c>
      <c r="K1474" s="7">
        <v>64.07</v>
      </c>
      <c r="L1474" s="8">
        <v>20</v>
      </c>
      <c r="M1474" s="9"/>
    </row>
    <row r="1475" s="1" customFormat="1" ht="20.1" customHeight="1" spans="1:13">
      <c r="A1475" s="4" t="str">
        <f>"37502022022613421519170"</f>
        <v>37502022022613421519170</v>
      </c>
      <c r="B1475" s="4" t="s">
        <v>1431</v>
      </c>
      <c r="C1475" s="4" t="s">
        <v>1449</v>
      </c>
      <c r="D1475" s="4" t="str">
        <f>"20220305010"</f>
        <v>20220305010</v>
      </c>
      <c r="E1475" s="4" t="str">
        <f t="shared" si="291"/>
        <v>50</v>
      </c>
      <c r="F1475" s="4" t="str">
        <f>"10"</f>
        <v>10</v>
      </c>
      <c r="G1475" s="5">
        <v>58.11</v>
      </c>
      <c r="H1475" s="5" t="s">
        <v>14</v>
      </c>
      <c r="I1475" s="5">
        <v>66</v>
      </c>
      <c r="J1475" s="5" t="s">
        <v>14</v>
      </c>
      <c r="K1475" s="7">
        <v>63.63</v>
      </c>
      <c r="L1475" s="8">
        <v>21</v>
      </c>
      <c r="M1475" s="9"/>
    </row>
    <row r="1476" s="1" customFormat="1" ht="20.1" customHeight="1" spans="1:13">
      <c r="A1476" s="4" t="str">
        <f>"37502022022611241119009"</f>
        <v>37502022022611241119009</v>
      </c>
      <c r="B1476" s="4" t="s">
        <v>1431</v>
      </c>
      <c r="C1476" s="4" t="s">
        <v>1450</v>
      </c>
      <c r="D1476" s="4" t="str">
        <f>"20220305011"</f>
        <v>20220305011</v>
      </c>
      <c r="E1476" s="4" t="str">
        <f t="shared" si="291"/>
        <v>50</v>
      </c>
      <c r="F1476" s="4" t="str">
        <f>"11"</f>
        <v>11</v>
      </c>
      <c r="G1476" s="5">
        <v>49.81</v>
      </c>
      <c r="H1476" s="5" t="s">
        <v>14</v>
      </c>
      <c r="I1476" s="5">
        <v>64.9</v>
      </c>
      <c r="J1476" s="5" t="s">
        <v>14</v>
      </c>
      <c r="K1476" s="7">
        <v>60.37</v>
      </c>
      <c r="L1476" s="8">
        <v>22</v>
      </c>
      <c r="M1476" s="9"/>
    </row>
    <row r="1477" s="1" customFormat="1" ht="20.1" customHeight="1" spans="1:13">
      <c r="A1477" s="4" t="str">
        <f>"37502022022715155420317"</f>
        <v>37502022022715155420317</v>
      </c>
      <c r="B1477" s="4" t="s">
        <v>1431</v>
      </c>
      <c r="C1477" s="4" t="s">
        <v>1451</v>
      </c>
      <c r="D1477" s="4" t="str">
        <f>"20220304918"</f>
        <v>20220304918</v>
      </c>
      <c r="E1477" s="4" t="str">
        <f t="shared" si="292"/>
        <v>49</v>
      </c>
      <c r="F1477" s="4" t="str">
        <f>"18"</f>
        <v>18</v>
      </c>
      <c r="G1477" s="5">
        <v>52.93</v>
      </c>
      <c r="H1477" s="5" t="s">
        <v>14</v>
      </c>
      <c r="I1477" s="5">
        <v>63.3</v>
      </c>
      <c r="J1477" s="5" t="s">
        <v>14</v>
      </c>
      <c r="K1477" s="7">
        <v>60.19</v>
      </c>
      <c r="L1477" s="8">
        <v>23</v>
      </c>
      <c r="M1477" s="9"/>
    </row>
    <row r="1478" s="1" customFormat="1" ht="20.1" customHeight="1" spans="1:13">
      <c r="A1478" s="4" t="str">
        <f>"37502022022615514319334"</f>
        <v>37502022022615514319334</v>
      </c>
      <c r="B1478" s="4" t="s">
        <v>1431</v>
      </c>
      <c r="C1478" s="4" t="s">
        <v>1194</v>
      </c>
      <c r="D1478" s="4" t="str">
        <f>"20220305012"</f>
        <v>20220305012</v>
      </c>
      <c r="E1478" s="4" t="str">
        <f t="shared" ref="E1478:E1482" si="293">"50"</f>
        <v>50</v>
      </c>
      <c r="F1478" s="4" t="str">
        <f>"12"</f>
        <v>12</v>
      </c>
      <c r="G1478" s="5">
        <v>0</v>
      </c>
      <c r="H1478" s="5" t="s">
        <v>74</v>
      </c>
      <c r="I1478" s="5">
        <v>0</v>
      </c>
      <c r="J1478" s="5" t="s">
        <v>74</v>
      </c>
      <c r="K1478" s="7">
        <v>0</v>
      </c>
      <c r="L1478" s="8">
        <v>24</v>
      </c>
      <c r="M1478" s="9"/>
    </row>
    <row r="1479" s="1" customFormat="1" ht="20.1" customHeight="1" spans="1:13">
      <c r="A1479" s="4" t="str">
        <f>"37502022022712481620122"</f>
        <v>37502022022712481620122</v>
      </c>
      <c r="B1479" s="4" t="s">
        <v>1431</v>
      </c>
      <c r="C1479" s="4" t="s">
        <v>1071</v>
      </c>
      <c r="D1479" s="4" t="str">
        <f>"20220304928"</f>
        <v>20220304928</v>
      </c>
      <c r="E1479" s="4" t="str">
        <f t="shared" si="292"/>
        <v>49</v>
      </c>
      <c r="F1479" s="4" t="str">
        <f>"28"</f>
        <v>28</v>
      </c>
      <c r="G1479" s="5">
        <v>0</v>
      </c>
      <c r="H1479" s="5" t="s">
        <v>74</v>
      </c>
      <c r="I1479" s="5">
        <v>0</v>
      </c>
      <c r="J1479" s="5" t="s">
        <v>74</v>
      </c>
      <c r="K1479" s="7">
        <v>0</v>
      </c>
      <c r="L1479" s="8">
        <v>24</v>
      </c>
      <c r="M1479" s="9"/>
    </row>
    <row r="1480" s="1" customFormat="1" ht="20.1" customHeight="1" spans="1:13">
      <c r="A1480" s="4" t="str">
        <f>"37502022022813583722179"</f>
        <v>37502022022813583722179</v>
      </c>
      <c r="B1480" s="4" t="s">
        <v>1431</v>
      </c>
      <c r="C1480" s="4" t="s">
        <v>1452</v>
      </c>
      <c r="D1480" s="4" t="str">
        <f>"20220305009"</f>
        <v>20220305009</v>
      </c>
      <c r="E1480" s="4" t="str">
        <f t="shared" si="293"/>
        <v>50</v>
      </c>
      <c r="F1480" s="4" t="str">
        <f>"09"</f>
        <v>09</v>
      </c>
      <c r="G1480" s="5">
        <v>0</v>
      </c>
      <c r="H1480" s="5" t="s">
        <v>74</v>
      </c>
      <c r="I1480" s="5">
        <v>0</v>
      </c>
      <c r="J1480" s="5" t="s">
        <v>74</v>
      </c>
      <c r="K1480" s="7">
        <v>0</v>
      </c>
      <c r="L1480" s="8">
        <v>24</v>
      </c>
      <c r="M1480" s="9"/>
    </row>
    <row r="1481" s="1" customFormat="1" ht="20.1" customHeight="1" spans="1:13">
      <c r="A1481" s="4" t="str">
        <f>"37502022030111091623496"</f>
        <v>37502022030111091623496</v>
      </c>
      <c r="B1481" s="4" t="s">
        <v>1431</v>
      </c>
      <c r="C1481" s="4" t="s">
        <v>1453</v>
      </c>
      <c r="D1481" s="4" t="str">
        <f>"20220304922"</f>
        <v>20220304922</v>
      </c>
      <c r="E1481" s="4" t="str">
        <f>"49"</f>
        <v>49</v>
      </c>
      <c r="F1481" s="4" t="str">
        <f>"22"</f>
        <v>22</v>
      </c>
      <c r="G1481" s="5">
        <v>0</v>
      </c>
      <c r="H1481" s="5" t="s">
        <v>74</v>
      </c>
      <c r="I1481" s="5">
        <v>0</v>
      </c>
      <c r="J1481" s="5" t="s">
        <v>74</v>
      </c>
      <c r="K1481" s="7">
        <v>0</v>
      </c>
      <c r="L1481" s="8">
        <v>24</v>
      </c>
      <c r="M1481" s="9"/>
    </row>
    <row r="1482" s="1" customFormat="1" ht="20.1" customHeight="1" spans="1:13">
      <c r="A1482" s="4" t="str">
        <f>"37502022030117455924161"</f>
        <v>37502022030117455924161</v>
      </c>
      <c r="B1482" s="4" t="s">
        <v>1431</v>
      </c>
      <c r="C1482" s="4" t="s">
        <v>1454</v>
      </c>
      <c r="D1482" s="4" t="str">
        <f>"20220305003"</f>
        <v>20220305003</v>
      </c>
      <c r="E1482" s="4" t="str">
        <f t="shared" si="293"/>
        <v>50</v>
      </c>
      <c r="F1482" s="4" t="str">
        <f>"03"</f>
        <v>03</v>
      </c>
      <c r="G1482" s="5">
        <v>0</v>
      </c>
      <c r="H1482" s="5" t="s">
        <v>74</v>
      </c>
      <c r="I1482" s="5">
        <v>0</v>
      </c>
      <c r="J1482" s="5" t="s">
        <v>74</v>
      </c>
      <c r="K1482" s="7">
        <v>0</v>
      </c>
      <c r="L1482" s="8">
        <v>24</v>
      </c>
      <c r="M1482" s="9"/>
    </row>
    <row r="1483" s="1" customFormat="1" ht="20.1" customHeight="1" spans="1:13">
      <c r="A1483" s="4" t="str">
        <f>"37502022030210363925038"</f>
        <v>37502022030210363925038</v>
      </c>
      <c r="B1483" s="4" t="s">
        <v>1431</v>
      </c>
      <c r="C1483" s="4" t="s">
        <v>1455</v>
      </c>
      <c r="D1483" s="4" t="str">
        <f>"20220304924"</f>
        <v>20220304924</v>
      </c>
      <c r="E1483" s="4" t="str">
        <f>"49"</f>
        <v>49</v>
      </c>
      <c r="F1483" s="4" t="str">
        <f>"24"</f>
        <v>24</v>
      </c>
      <c r="G1483" s="5">
        <v>0</v>
      </c>
      <c r="H1483" s="5" t="s">
        <v>74</v>
      </c>
      <c r="I1483" s="5">
        <v>0</v>
      </c>
      <c r="J1483" s="5" t="s">
        <v>74</v>
      </c>
      <c r="K1483" s="7">
        <v>0</v>
      </c>
      <c r="L1483" s="8">
        <v>24</v>
      </c>
      <c r="M1483" s="9"/>
    </row>
    <row r="1484" s="1" customFormat="1" ht="20.1" customHeight="1" spans="1:13">
      <c r="A1484" s="4" t="str">
        <f>"37502022030211440325148"</f>
        <v>37502022030211440325148</v>
      </c>
      <c r="B1484" s="4" t="s">
        <v>1431</v>
      </c>
      <c r="C1484" s="4" t="s">
        <v>1456</v>
      </c>
      <c r="D1484" s="4" t="str">
        <f>"20220305001"</f>
        <v>20220305001</v>
      </c>
      <c r="E1484" s="4" t="str">
        <f t="shared" ref="E1484:E1488" si="294">"50"</f>
        <v>50</v>
      </c>
      <c r="F1484" s="4" t="str">
        <f>"01"</f>
        <v>01</v>
      </c>
      <c r="G1484" s="5">
        <v>0</v>
      </c>
      <c r="H1484" s="5" t="s">
        <v>74</v>
      </c>
      <c r="I1484" s="5">
        <v>0</v>
      </c>
      <c r="J1484" s="5" t="s">
        <v>74</v>
      </c>
      <c r="K1484" s="7">
        <v>0</v>
      </c>
      <c r="L1484" s="8">
        <v>24</v>
      </c>
      <c r="M1484" s="9"/>
    </row>
    <row r="1485" s="1" customFormat="1" ht="20.1" customHeight="1" spans="1:13">
      <c r="A1485" s="4" t="str">
        <f>"37502022030212593625255"</f>
        <v>37502022030212593625255</v>
      </c>
      <c r="B1485" s="4" t="s">
        <v>1431</v>
      </c>
      <c r="C1485" s="4" t="s">
        <v>1457</v>
      </c>
      <c r="D1485" s="4" t="str">
        <f>"20220305002"</f>
        <v>20220305002</v>
      </c>
      <c r="E1485" s="4" t="str">
        <f t="shared" si="294"/>
        <v>50</v>
      </c>
      <c r="F1485" s="4" t="str">
        <f>"02"</f>
        <v>02</v>
      </c>
      <c r="G1485" s="5">
        <v>0</v>
      </c>
      <c r="H1485" s="5" t="s">
        <v>74</v>
      </c>
      <c r="I1485" s="5">
        <v>0</v>
      </c>
      <c r="J1485" s="5" t="s">
        <v>74</v>
      </c>
      <c r="K1485" s="7">
        <v>0</v>
      </c>
      <c r="L1485" s="8">
        <v>24</v>
      </c>
      <c r="M1485" s="9"/>
    </row>
    <row r="1486" s="1" customFormat="1" ht="20.1" customHeight="1" spans="1:13">
      <c r="A1486" s="4" t="str">
        <f>"37502022022719091720639"</f>
        <v>37502022022719091720639</v>
      </c>
      <c r="B1486" s="4" t="s">
        <v>1458</v>
      </c>
      <c r="C1486" s="4" t="s">
        <v>226</v>
      </c>
      <c r="D1486" s="4" t="str">
        <f>"20220315025"</f>
        <v>20220315025</v>
      </c>
      <c r="E1486" s="4" t="str">
        <f t="shared" si="294"/>
        <v>50</v>
      </c>
      <c r="F1486" s="4" t="str">
        <f>"25"</f>
        <v>25</v>
      </c>
      <c r="G1486" s="5">
        <v>83.94</v>
      </c>
      <c r="H1486" s="5" t="s">
        <v>14</v>
      </c>
      <c r="I1486" s="5">
        <v>81.8</v>
      </c>
      <c r="J1486" s="5" t="s">
        <v>14</v>
      </c>
      <c r="K1486" s="7">
        <v>82.44</v>
      </c>
      <c r="L1486" s="8">
        <v>1</v>
      </c>
      <c r="M1486" s="9"/>
    </row>
    <row r="1487" s="1" customFormat="1" ht="20.1" customHeight="1" spans="1:13">
      <c r="A1487" s="4" t="str">
        <f>"37502022022814394922304"</f>
        <v>37502022022814394922304</v>
      </c>
      <c r="B1487" s="4" t="s">
        <v>1458</v>
      </c>
      <c r="C1487" s="4" t="s">
        <v>1459</v>
      </c>
      <c r="D1487" s="4" t="str">
        <f>"20220315019"</f>
        <v>20220315019</v>
      </c>
      <c r="E1487" s="4" t="str">
        <f t="shared" si="294"/>
        <v>50</v>
      </c>
      <c r="F1487" s="4" t="str">
        <f>"19"</f>
        <v>19</v>
      </c>
      <c r="G1487" s="5">
        <v>77.55</v>
      </c>
      <c r="H1487" s="5" t="s">
        <v>14</v>
      </c>
      <c r="I1487" s="5">
        <v>84.3</v>
      </c>
      <c r="J1487" s="5" t="s">
        <v>14</v>
      </c>
      <c r="K1487" s="7">
        <v>82.28</v>
      </c>
      <c r="L1487" s="8">
        <v>2</v>
      </c>
      <c r="M1487" s="9"/>
    </row>
    <row r="1488" s="1" customFormat="1" ht="20.1" customHeight="1" spans="1:13">
      <c r="A1488" s="4" t="str">
        <f>"37502022022609261918713"</f>
        <v>37502022022609261918713</v>
      </c>
      <c r="B1488" s="4" t="s">
        <v>1458</v>
      </c>
      <c r="C1488" s="4" t="s">
        <v>1460</v>
      </c>
      <c r="D1488" s="4" t="str">
        <f>"20220315016"</f>
        <v>20220315016</v>
      </c>
      <c r="E1488" s="4" t="str">
        <f t="shared" si="294"/>
        <v>50</v>
      </c>
      <c r="F1488" s="4" t="str">
        <f>"16"</f>
        <v>16</v>
      </c>
      <c r="G1488" s="5">
        <v>78.97</v>
      </c>
      <c r="H1488" s="5" t="s">
        <v>14</v>
      </c>
      <c r="I1488" s="5">
        <v>80.6</v>
      </c>
      <c r="J1488" s="5" t="s">
        <v>14</v>
      </c>
      <c r="K1488" s="7">
        <v>80.11</v>
      </c>
      <c r="L1488" s="8">
        <v>3</v>
      </c>
      <c r="M1488" s="9"/>
    </row>
    <row r="1489" s="1" customFormat="1" ht="20.1" customHeight="1" spans="1:13">
      <c r="A1489" s="4" t="str">
        <f>"37502022022812415621971"</f>
        <v>37502022022812415621971</v>
      </c>
      <c r="B1489" s="4" t="s">
        <v>1458</v>
      </c>
      <c r="C1489" s="4" t="s">
        <v>1461</v>
      </c>
      <c r="D1489" s="4" t="str">
        <f>"20220315105"</f>
        <v>20220315105</v>
      </c>
      <c r="E1489" s="4" t="str">
        <f>"51"</f>
        <v>51</v>
      </c>
      <c r="F1489" s="4" t="str">
        <f>"05"</f>
        <v>05</v>
      </c>
      <c r="G1489" s="5">
        <v>72.46</v>
      </c>
      <c r="H1489" s="5" t="s">
        <v>14</v>
      </c>
      <c r="I1489" s="5">
        <v>78.9</v>
      </c>
      <c r="J1489" s="5" t="s">
        <v>14</v>
      </c>
      <c r="K1489" s="7">
        <v>76.97</v>
      </c>
      <c r="L1489" s="8">
        <v>4</v>
      </c>
      <c r="M1489" s="9"/>
    </row>
    <row r="1490" s="1" customFormat="1" ht="20.1" customHeight="1" spans="1:13">
      <c r="A1490" s="4" t="str">
        <f>"37502022030208481424852"</f>
        <v>37502022030208481424852</v>
      </c>
      <c r="B1490" s="4" t="s">
        <v>1458</v>
      </c>
      <c r="C1490" s="4" t="s">
        <v>1462</v>
      </c>
      <c r="D1490" s="4" t="str">
        <f>"20220315027"</f>
        <v>20220315027</v>
      </c>
      <c r="E1490" s="4" t="str">
        <f t="shared" ref="E1490:E1496" si="295">"50"</f>
        <v>50</v>
      </c>
      <c r="F1490" s="4" t="str">
        <f>"27"</f>
        <v>27</v>
      </c>
      <c r="G1490" s="5">
        <v>74.12</v>
      </c>
      <c r="H1490" s="5" t="s">
        <v>14</v>
      </c>
      <c r="I1490" s="5">
        <v>76.8</v>
      </c>
      <c r="J1490" s="5" t="s">
        <v>14</v>
      </c>
      <c r="K1490" s="7">
        <v>76</v>
      </c>
      <c r="L1490" s="8">
        <v>5</v>
      </c>
      <c r="M1490" s="9"/>
    </row>
    <row r="1491" s="1" customFormat="1" ht="20.1" customHeight="1" spans="1:13">
      <c r="A1491" s="4" t="str">
        <f>"37502022022609411818765"</f>
        <v>37502022022609411818765</v>
      </c>
      <c r="B1491" s="4" t="s">
        <v>1458</v>
      </c>
      <c r="C1491" s="4" t="s">
        <v>1463</v>
      </c>
      <c r="D1491" s="4" t="str">
        <f>"20220315103"</f>
        <v>20220315103</v>
      </c>
      <c r="E1491" s="4" t="str">
        <f>"51"</f>
        <v>51</v>
      </c>
      <c r="F1491" s="4" t="str">
        <f>"03"</f>
        <v>03</v>
      </c>
      <c r="G1491" s="5">
        <v>66.8</v>
      </c>
      <c r="H1491" s="5" t="s">
        <v>14</v>
      </c>
      <c r="I1491" s="5">
        <v>79.7</v>
      </c>
      <c r="J1491" s="5" t="s">
        <v>14</v>
      </c>
      <c r="K1491" s="7">
        <v>75.83</v>
      </c>
      <c r="L1491" s="8">
        <v>6</v>
      </c>
      <c r="M1491" s="9"/>
    </row>
    <row r="1492" s="1" customFormat="1" ht="20.1" customHeight="1" spans="1:13">
      <c r="A1492" s="4" t="str">
        <f>"37502022030119302124361"</f>
        <v>37502022030119302124361</v>
      </c>
      <c r="B1492" s="4" t="s">
        <v>1458</v>
      </c>
      <c r="C1492" s="4" t="s">
        <v>1464</v>
      </c>
      <c r="D1492" s="4" t="str">
        <f>"20220315014"</f>
        <v>20220315014</v>
      </c>
      <c r="E1492" s="4" t="str">
        <f t="shared" si="295"/>
        <v>50</v>
      </c>
      <c r="F1492" s="4" t="str">
        <f>"14"</f>
        <v>14</v>
      </c>
      <c r="G1492" s="5">
        <v>68.56</v>
      </c>
      <c r="H1492" s="5" t="s">
        <v>14</v>
      </c>
      <c r="I1492" s="5">
        <v>77.2</v>
      </c>
      <c r="J1492" s="5" t="s">
        <v>14</v>
      </c>
      <c r="K1492" s="7">
        <v>74.61</v>
      </c>
      <c r="L1492" s="8">
        <v>7</v>
      </c>
      <c r="M1492" s="9"/>
    </row>
    <row r="1493" s="1" customFormat="1" ht="20.1" customHeight="1" spans="1:13">
      <c r="A1493" s="4" t="str">
        <f>"37502022022610071218825"</f>
        <v>37502022022610071218825</v>
      </c>
      <c r="B1493" s="4" t="s">
        <v>1458</v>
      </c>
      <c r="C1493" s="4" t="s">
        <v>1465</v>
      </c>
      <c r="D1493" s="4" t="str">
        <f>"20220315024"</f>
        <v>20220315024</v>
      </c>
      <c r="E1493" s="4" t="str">
        <f t="shared" si="295"/>
        <v>50</v>
      </c>
      <c r="F1493" s="4" t="str">
        <f>"24"</f>
        <v>24</v>
      </c>
      <c r="G1493" s="5">
        <v>76.05</v>
      </c>
      <c r="H1493" s="5" t="s">
        <v>14</v>
      </c>
      <c r="I1493" s="5">
        <v>73.8</v>
      </c>
      <c r="J1493" s="5" t="s">
        <v>14</v>
      </c>
      <c r="K1493" s="7">
        <v>74.48</v>
      </c>
      <c r="L1493" s="8">
        <v>8</v>
      </c>
      <c r="M1493" s="9"/>
    </row>
    <row r="1494" s="1" customFormat="1" ht="20.1" customHeight="1" spans="1:13">
      <c r="A1494" s="4" t="str">
        <f>"37502022022820522922974"</f>
        <v>37502022022820522922974</v>
      </c>
      <c r="B1494" s="4" t="s">
        <v>1458</v>
      </c>
      <c r="C1494" s="4" t="s">
        <v>1466</v>
      </c>
      <c r="D1494" s="4" t="str">
        <f>"20220315023"</f>
        <v>20220315023</v>
      </c>
      <c r="E1494" s="4" t="str">
        <f t="shared" si="295"/>
        <v>50</v>
      </c>
      <c r="F1494" s="4" t="str">
        <f>"23"</f>
        <v>23</v>
      </c>
      <c r="G1494" s="5">
        <v>72.87</v>
      </c>
      <c r="H1494" s="5" t="s">
        <v>14</v>
      </c>
      <c r="I1494" s="5">
        <v>72.6</v>
      </c>
      <c r="J1494" s="5" t="s">
        <v>14</v>
      </c>
      <c r="K1494" s="7">
        <v>72.68</v>
      </c>
      <c r="L1494" s="8">
        <v>9</v>
      </c>
      <c r="M1494" s="9"/>
    </row>
    <row r="1495" s="1" customFormat="1" ht="20.1" customHeight="1" spans="1:13">
      <c r="A1495" s="4" t="str">
        <f>"37502022022807505921275"</f>
        <v>37502022022807505921275</v>
      </c>
      <c r="B1495" s="4" t="s">
        <v>1458</v>
      </c>
      <c r="C1495" s="4" t="s">
        <v>1467</v>
      </c>
      <c r="D1495" s="4" t="str">
        <f>"20220315026"</f>
        <v>20220315026</v>
      </c>
      <c r="E1495" s="4" t="str">
        <f t="shared" si="295"/>
        <v>50</v>
      </c>
      <c r="F1495" s="4" t="str">
        <f>"26"</f>
        <v>26</v>
      </c>
      <c r="G1495" s="5">
        <v>73.28</v>
      </c>
      <c r="H1495" s="5" t="s">
        <v>14</v>
      </c>
      <c r="I1495" s="5">
        <v>69.5</v>
      </c>
      <c r="J1495" s="5" t="s">
        <v>14</v>
      </c>
      <c r="K1495" s="7">
        <v>70.63</v>
      </c>
      <c r="L1495" s="8">
        <v>10</v>
      </c>
      <c r="M1495" s="9"/>
    </row>
    <row r="1496" s="1" customFormat="1" ht="20.1" customHeight="1" spans="1:13">
      <c r="A1496" s="4" t="str">
        <f>"37502022030119465924391"</f>
        <v>37502022030119465924391</v>
      </c>
      <c r="B1496" s="4" t="s">
        <v>1458</v>
      </c>
      <c r="C1496" s="4" t="s">
        <v>1468</v>
      </c>
      <c r="D1496" s="4" t="str">
        <f>"20220315030"</f>
        <v>20220315030</v>
      </c>
      <c r="E1496" s="4" t="str">
        <f t="shared" si="295"/>
        <v>50</v>
      </c>
      <c r="F1496" s="4" t="str">
        <f>"30"</f>
        <v>30</v>
      </c>
      <c r="G1496" s="5">
        <v>67.42</v>
      </c>
      <c r="H1496" s="5" t="s">
        <v>14</v>
      </c>
      <c r="I1496" s="5">
        <v>71.9</v>
      </c>
      <c r="J1496" s="5" t="s">
        <v>14</v>
      </c>
      <c r="K1496" s="7">
        <v>70.56</v>
      </c>
      <c r="L1496" s="8">
        <v>11</v>
      </c>
      <c r="M1496" s="9"/>
    </row>
    <row r="1497" s="1" customFormat="1" ht="20.1" customHeight="1" spans="1:13">
      <c r="A1497" s="4" t="str">
        <f>"37502022030209470824955"</f>
        <v>37502022030209470824955</v>
      </c>
      <c r="B1497" s="4" t="s">
        <v>1458</v>
      </c>
      <c r="C1497" s="4" t="s">
        <v>297</v>
      </c>
      <c r="D1497" s="4" t="str">
        <f>"20220315110"</f>
        <v>20220315110</v>
      </c>
      <c r="E1497" s="4" t="str">
        <f t="shared" ref="E1497:E1499" si="296">"51"</f>
        <v>51</v>
      </c>
      <c r="F1497" s="4" t="str">
        <f>"10"</f>
        <v>10</v>
      </c>
      <c r="G1497" s="5">
        <v>74.58</v>
      </c>
      <c r="H1497" s="5" t="s">
        <v>14</v>
      </c>
      <c r="I1497" s="5">
        <v>67.1</v>
      </c>
      <c r="J1497" s="5" t="s">
        <v>14</v>
      </c>
      <c r="K1497" s="7">
        <v>69.34</v>
      </c>
      <c r="L1497" s="8">
        <v>12</v>
      </c>
      <c r="M1497" s="9"/>
    </row>
    <row r="1498" s="1" customFormat="1" ht="20.1" customHeight="1" spans="1:13">
      <c r="A1498" s="4" t="str">
        <f>"37502022030111003223477"</f>
        <v>37502022030111003223477</v>
      </c>
      <c r="B1498" s="4" t="s">
        <v>1458</v>
      </c>
      <c r="C1498" s="4" t="s">
        <v>1469</v>
      </c>
      <c r="D1498" s="4" t="str">
        <f>"20220315102"</f>
        <v>20220315102</v>
      </c>
      <c r="E1498" s="4" t="str">
        <f t="shared" si="296"/>
        <v>51</v>
      </c>
      <c r="F1498" s="4" t="str">
        <f>"02"</f>
        <v>02</v>
      </c>
      <c r="G1498" s="5">
        <v>66.46</v>
      </c>
      <c r="H1498" s="5" t="s">
        <v>14</v>
      </c>
      <c r="I1498" s="5">
        <v>69.9</v>
      </c>
      <c r="J1498" s="5" t="s">
        <v>14</v>
      </c>
      <c r="K1498" s="7">
        <v>68.87</v>
      </c>
      <c r="L1498" s="8">
        <v>13</v>
      </c>
      <c r="M1498" s="9"/>
    </row>
    <row r="1499" s="1" customFormat="1" ht="20.1" customHeight="1" spans="1:13">
      <c r="A1499" s="4" t="str">
        <f>"37502022030111052223485"</f>
        <v>37502022030111052223485</v>
      </c>
      <c r="B1499" s="4" t="s">
        <v>1458</v>
      </c>
      <c r="C1499" s="4" t="s">
        <v>1181</v>
      </c>
      <c r="D1499" s="4" t="str">
        <f>"20220315106"</f>
        <v>20220315106</v>
      </c>
      <c r="E1499" s="4" t="str">
        <f t="shared" si="296"/>
        <v>51</v>
      </c>
      <c r="F1499" s="4" t="str">
        <f>"06"</f>
        <v>06</v>
      </c>
      <c r="G1499" s="5">
        <v>65.46</v>
      </c>
      <c r="H1499" s="5" t="s">
        <v>14</v>
      </c>
      <c r="I1499" s="5">
        <v>70</v>
      </c>
      <c r="J1499" s="5" t="s">
        <v>14</v>
      </c>
      <c r="K1499" s="7">
        <v>68.64</v>
      </c>
      <c r="L1499" s="8">
        <v>14</v>
      </c>
      <c r="M1499" s="9"/>
    </row>
    <row r="1500" s="1" customFormat="1" ht="20.1" customHeight="1" spans="1:13">
      <c r="A1500" s="4" t="str">
        <f>"37502022022817440122805"</f>
        <v>37502022022817440122805</v>
      </c>
      <c r="B1500" s="4" t="s">
        <v>1458</v>
      </c>
      <c r="C1500" s="4" t="s">
        <v>1470</v>
      </c>
      <c r="D1500" s="4" t="str">
        <f>"20220315020"</f>
        <v>20220315020</v>
      </c>
      <c r="E1500" s="4" t="str">
        <f t="shared" ref="E1500:E1504" si="297">"50"</f>
        <v>50</v>
      </c>
      <c r="F1500" s="4" t="str">
        <f>"20"</f>
        <v>20</v>
      </c>
      <c r="G1500" s="5">
        <v>69.92</v>
      </c>
      <c r="H1500" s="5" t="s">
        <v>14</v>
      </c>
      <c r="I1500" s="5">
        <v>67.6</v>
      </c>
      <c r="J1500" s="5" t="s">
        <v>14</v>
      </c>
      <c r="K1500" s="7">
        <v>68.3</v>
      </c>
      <c r="L1500" s="8">
        <v>15</v>
      </c>
      <c r="M1500" s="9"/>
    </row>
    <row r="1501" s="1" customFormat="1" ht="20.1" customHeight="1" spans="1:13">
      <c r="A1501" s="4" t="str">
        <f>"37502022022817595722820"</f>
        <v>37502022022817595722820</v>
      </c>
      <c r="B1501" s="4" t="s">
        <v>1458</v>
      </c>
      <c r="C1501" s="4" t="s">
        <v>1471</v>
      </c>
      <c r="D1501" s="4" t="str">
        <f>"20220315111"</f>
        <v>20220315111</v>
      </c>
      <c r="E1501" s="4" t="str">
        <f t="shared" ref="E1501:E1505" si="298">"51"</f>
        <v>51</v>
      </c>
      <c r="F1501" s="4" t="str">
        <f>"11"</f>
        <v>11</v>
      </c>
      <c r="G1501" s="5">
        <v>62.37</v>
      </c>
      <c r="H1501" s="5" t="s">
        <v>14</v>
      </c>
      <c r="I1501" s="5">
        <v>69.7</v>
      </c>
      <c r="J1501" s="5" t="s">
        <v>14</v>
      </c>
      <c r="K1501" s="7">
        <v>67.5</v>
      </c>
      <c r="L1501" s="8">
        <v>16</v>
      </c>
      <c r="M1501" s="9"/>
    </row>
    <row r="1502" s="1" customFormat="1" ht="20.1" customHeight="1" spans="1:13">
      <c r="A1502" s="4" t="str">
        <f>"37502022022815180222448"</f>
        <v>37502022022815180222448</v>
      </c>
      <c r="B1502" s="4" t="s">
        <v>1458</v>
      </c>
      <c r="C1502" s="4" t="s">
        <v>1472</v>
      </c>
      <c r="D1502" s="4" t="str">
        <f>"20220315108"</f>
        <v>20220315108</v>
      </c>
      <c r="E1502" s="4" t="str">
        <f t="shared" si="298"/>
        <v>51</v>
      </c>
      <c r="F1502" s="4" t="str">
        <f>"08"</f>
        <v>08</v>
      </c>
      <c r="G1502" s="5">
        <v>58.32</v>
      </c>
      <c r="H1502" s="5" t="s">
        <v>14</v>
      </c>
      <c r="I1502" s="5">
        <v>70.4</v>
      </c>
      <c r="J1502" s="5" t="s">
        <v>14</v>
      </c>
      <c r="K1502" s="7">
        <v>66.78</v>
      </c>
      <c r="L1502" s="8">
        <v>17</v>
      </c>
      <c r="M1502" s="9"/>
    </row>
    <row r="1503" s="1" customFormat="1" ht="20.1" customHeight="1" spans="1:13">
      <c r="A1503" s="4" t="str">
        <f>"37502022030218330525711"</f>
        <v>37502022030218330525711</v>
      </c>
      <c r="B1503" s="4" t="s">
        <v>1458</v>
      </c>
      <c r="C1503" s="4" t="s">
        <v>461</v>
      </c>
      <c r="D1503" s="4" t="str">
        <f>"20220315029"</f>
        <v>20220315029</v>
      </c>
      <c r="E1503" s="4" t="str">
        <f t="shared" si="297"/>
        <v>50</v>
      </c>
      <c r="F1503" s="4" t="str">
        <f>"29"</f>
        <v>29</v>
      </c>
      <c r="G1503" s="5">
        <v>63.87</v>
      </c>
      <c r="H1503" s="5" t="s">
        <v>14</v>
      </c>
      <c r="I1503" s="5">
        <v>66.4</v>
      </c>
      <c r="J1503" s="5" t="s">
        <v>14</v>
      </c>
      <c r="K1503" s="7">
        <v>65.64</v>
      </c>
      <c r="L1503" s="8">
        <v>18</v>
      </c>
      <c r="M1503" s="9"/>
    </row>
    <row r="1504" s="1" customFormat="1" ht="20.1" customHeight="1" spans="1:13">
      <c r="A1504" s="4" t="str">
        <f>"37502022022822233823053"</f>
        <v>37502022022822233823053</v>
      </c>
      <c r="B1504" s="4" t="s">
        <v>1458</v>
      </c>
      <c r="C1504" s="4" t="s">
        <v>1473</v>
      </c>
      <c r="D1504" s="4" t="str">
        <f>"20220315017"</f>
        <v>20220315017</v>
      </c>
      <c r="E1504" s="4" t="str">
        <f t="shared" si="297"/>
        <v>50</v>
      </c>
      <c r="F1504" s="4" t="str">
        <f>"17"</f>
        <v>17</v>
      </c>
      <c r="G1504" s="5">
        <v>66.8</v>
      </c>
      <c r="H1504" s="5" t="s">
        <v>14</v>
      </c>
      <c r="I1504" s="5">
        <v>62.7</v>
      </c>
      <c r="J1504" s="5" t="s">
        <v>14</v>
      </c>
      <c r="K1504" s="7">
        <v>63.93</v>
      </c>
      <c r="L1504" s="8">
        <v>19</v>
      </c>
      <c r="M1504" s="9"/>
    </row>
    <row r="1505" s="1" customFormat="1" ht="20.1" customHeight="1" spans="1:13">
      <c r="A1505" s="4" t="str">
        <f>"37502022022820535622978"</f>
        <v>37502022022820535622978</v>
      </c>
      <c r="B1505" s="4" t="s">
        <v>1458</v>
      </c>
      <c r="C1505" s="4" t="s">
        <v>1474</v>
      </c>
      <c r="D1505" s="4" t="str">
        <f>"20220315107"</f>
        <v>20220315107</v>
      </c>
      <c r="E1505" s="4" t="str">
        <f t="shared" si="298"/>
        <v>51</v>
      </c>
      <c r="F1505" s="4" t="str">
        <f>"07"</f>
        <v>07</v>
      </c>
      <c r="G1505" s="5">
        <v>67.2</v>
      </c>
      <c r="H1505" s="5" t="s">
        <v>14</v>
      </c>
      <c r="I1505" s="5">
        <v>58.7</v>
      </c>
      <c r="J1505" s="5" t="s">
        <v>14</v>
      </c>
      <c r="K1505" s="7">
        <v>61.25</v>
      </c>
      <c r="L1505" s="8">
        <v>20</v>
      </c>
      <c r="M1505" s="9"/>
    </row>
    <row r="1506" s="1" customFormat="1" ht="20.1" customHeight="1" spans="1:13">
      <c r="A1506" s="4" t="str">
        <f>"37502022022609392318753"</f>
        <v>37502022022609392318753</v>
      </c>
      <c r="B1506" s="4" t="s">
        <v>1458</v>
      </c>
      <c r="C1506" s="4" t="s">
        <v>1475</v>
      </c>
      <c r="D1506" s="4" t="str">
        <f>"20220315021"</f>
        <v>20220315021</v>
      </c>
      <c r="E1506" s="4" t="str">
        <f t="shared" ref="E1506:E1509" si="299">"50"</f>
        <v>50</v>
      </c>
      <c r="F1506" s="4" t="str">
        <f>"21"</f>
        <v>21</v>
      </c>
      <c r="G1506" s="5">
        <v>0</v>
      </c>
      <c r="H1506" s="5" t="s">
        <v>74</v>
      </c>
      <c r="I1506" s="5">
        <v>0</v>
      </c>
      <c r="J1506" s="5" t="s">
        <v>74</v>
      </c>
      <c r="K1506" s="7">
        <v>0</v>
      </c>
      <c r="L1506" s="8">
        <v>21</v>
      </c>
      <c r="M1506" s="9"/>
    </row>
    <row r="1507" s="1" customFormat="1" ht="20.1" customHeight="1" spans="1:13">
      <c r="A1507" s="4" t="str">
        <f>"37502022022808122121297"</f>
        <v>37502022022808122121297</v>
      </c>
      <c r="B1507" s="4" t="s">
        <v>1458</v>
      </c>
      <c r="C1507" s="4" t="s">
        <v>1476</v>
      </c>
      <c r="D1507" s="4" t="str">
        <f>"20220315022"</f>
        <v>20220315022</v>
      </c>
      <c r="E1507" s="4" t="str">
        <f t="shared" si="299"/>
        <v>50</v>
      </c>
      <c r="F1507" s="4" t="str">
        <f>"22"</f>
        <v>22</v>
      </c>
      <c r="G1507" s="5">
        <v>0</v>
      </c>
      <c r="H1507" s="5" t="s">
        <v>74</v>
      </c>
      <c r="I1507" s="5">
        <v>0</v>
      </c>
      <c r="J1507" s="5" t="s">
        <v>74</v>
      </c>
      <c r="K1507" s="7">
        <v>0</v>
      </c>
      <c r="L1507" s="8">
        <v>21</v>
      </c>
      <c r="M1507" s="9"/>
    </row>
    <row r="1508" s="1" customFormat="1" ht="20.1" customHeight="1" spans="1:13">
      <c r="A1508" s="4" t="str">
        <f>"37502022022820154022942"</f>
        <v>37502022022820154022942</v>
      </c>
      <c r="B1508" s="4" t="s">
        <v>1458</v>
      </c>
      <c r="C1508" s="4" t="s">
        <v>1477</v>
      </c>
      <c r="D1508" s="4" t="str">
        <f>"20220315109"</f>
        <v>20220315109</v>
      </c>
      <c r="E1508" s="4" t="str">
        <f t="shared" ref="E1508:E1516" si="300">"51"</f>
        <v>51</v>
      </c>
      <c r="F1508" s="4" t="str">
        <f>"09"</f>
        <v>09</v>
      </c>
      <c r="G1508" s="5">
        <v>0</v>
      </c>
      <c r="H1508" s="5" t="s">
        <v>74</v>
      </c>
      <c r="I1508" s="5">
        <v>0</v>
      </c>
      <c r="J1508" s="5" t="s">
        <v>74</v>
      </c>
      <c r="K1508" s="7">
        <v>0</v>
      </c>
      <c r="L1508" s="8">
        <v>21</v>
      </c>
      <c r="M1508" s="9"/>
    </row>
    <row r="1509" s="1" customFormat="1" ht="20.1" customHeight="1" spans="1:13">
      <c r="A1509" s="4" t="str">
        <f>"37502022030109375223261"</f>
        <v>37502022030109375223261</v>
      </c>
      <c r="B1509" s="4" t="s">
        <v>1458</v>
      </c>
      <c r="C1509" s="4" t="s">
        <v>1478</v>
      </c>
      <c r="D1509" s="4" t="str">
        <f>"20220315015"</f>
        <v>20220315015</v>
      </c>
      <c r="E1509" s="4" t="str">
        <f t="shared" si="299"/>
        <v>50</v>
      </c>
      <c r="F1509" s="4" t="str">
        <f>"15"</f>
        <v>15</v>
      </c>
      <c r="G1509" s="5">
        <v>0</v>
      </c>
      <c r="H1509" s="5" t="s">
        <v>74</v>
      </c>
      <c r="I1509" s="5">
        <v>0</v>
      </c>
      <c r="J1509" s="5" t="s">
        <v>74</v>
      </c>
      <c r="K1509" s="7">
        <v>0</v>
      </c>
      <c r="L1509" s="8">
        <v>21</v>
      </c>
      <c r="M1509" s="9"/>
    </row>
    <row r="1510" s="1" customFormat="1" ht="20.1" customHeight="1" spans="1:13">
      <c r="A1510" s="4" t="str">
        <f>"37502022030110224223382"</f>
        <v>37502022030110224223382</v>
      </c>
      <c r="B1510" s="4" t="s">
        <v>1458</v>
      </c>
      <c r="C1510" s="4" t="s">
        <v>1479</v>
      </c>
      <c r="D1510" s="4" t="str">
        <f>"20220315101"</f>
        <v>20220315101</v>
      </c>
      <c r="E1510" s="4" t="str">
        <f t="shared" si="300"/>
        <v>51</v>
      </c>
      <c r="F1510" s="4" t="str">
        <f>"01"</f>
        <v>01</v>
      </c>
      <c r="G1510" s="5">
        <v>0</v>
      </c>
      <c r="H1510" s="5" t="s">
        <v>74</v>
      </c>
      <c r="I1510" s="5">
        <v>0</v>
      </c>
      <c r="J1510" s="5" t="s">
        <v>74</v>
      </c>
      <c r="K1510" s="7">
        <v>0</v>
      </c>
      <c r="L1510" s="8">
        <v>21</v>
      </c>
      <c r="M1510" s="9"/>
    </row>
    <row r="1511" s="1" customFormat="1" ht="20.1" customHeight="1" spans="1:13">
      <c r="A1511" s="4" t="str">
        <f>"37502022030119345424371"</f>
        <v>37502022030119345424371</v>
      </c>
      <c r="B1511" s="4" t="s">
        <v>1458</v>
      </c>
      <c r="C1511" s="4" t="s">
        <v>1480</v>
      </c>
      <c r="D1511" s="4" t="str">
        <f>"20220315028"</f>
        <v>20220315028</v>
      </c>
      <c r="E1511" s="4" t="str">
        <f>"50"</f>
        <v>50</v>
      </c>
      <c r="F1511" s="4" t="str">
        <f>"28"</f>
        <v>28</v>
      </c>
      <c r="G1511" s="5">
        <v>0</v>
      </c>
      <c r="H1511" s="5" t="s">
        <v>74</v>
      </c>
      <c r="I1511" s="5">
        <v>0</v>
      </c>
      <c r="J1511" s="5" t="s">
        <v>74</v>
      </c>
      <c r="K1511" s="7">
        <v>0</v>
      </c>
      <c r="L1511" s="8">
        <v>21</v>
      </c>
      <c r="M1511" s="9"/>
    </row>
    <row r="1512" s="1" customFormat="1" ht="20.1" customHeight="1" spans="1:13">
      <c r="A1512" s="4" t="str">
        <f>"37502022030122313124693"</f>
        <v>37502022030122313124693</v>
      </c>
      <c r="B1512" s="4" t="s">
        <v>1458</v>
      </c>
      <c r="C1512" s="4" t="s">
        <v>1481</v>
      </c>
      <c r="D1512" s="4" t="str">
        <f>"20220315018"</f>
        <v>20220315018</v>
      </c>
      <c r="E1512" s="4" t="str">
        <f>"50"</f>
        <v>50</v>
      </c>
      <c r="F1512" s="4" t="str">
        <f>"18"</f>
        <v>18</v>
      </c>
      <c r="G1512" s="5">
        <v>0</v>
      </c>
      <c r="H1512" s="5" t="s">
        <v>74</v>
      </c>
      <c r="I1512" s="5">
        <v>0</v>
      </c>
      <c r="J1512" s="5" t="s">
        <v>74</v>
      </c>
      <c r="K1512" s="7">
        <v>0</v>
      </c>
      <c r="L1512" s="8">
        <v>21</v>
      </c>
      <c r="M1512" s="9"/>
    </row>
    <row r="1513" s="1" customFormat="1" ht="20.1" customHeight="1" spans="1:13">
      <c r="A1513" s="4" t="str">
        <f>"37502022030217364425631"</f>
        <v>37502022030217364425631</v>
      </c>
      <c r="B1513" s="4" t="s">
        <v>1458</v>
      </c>
      <c r="C1513" s="4" t="s">
        <v>1482</v>
      </c>
      <c r="D1513" s="4" t="str">
        <f>"20220315104"</f>
        <v>20220315104</v>
      </c>
      <c r="E1513" s="4" t="str">
        <f t="shared" si="300"/>
        <v>51</v>
      </c>
      <c r="F1513" s="4" t="str">
        <f>"04"</f>
        <v>04</v>
      </c>
      <c r="G1513" s="5">
        <v>0</v>
      </c>
      <c r="H1513" s="5" t="s">
        <v>74</v>
      </c>
      <c r="I1513" s="5">
        <v>0</v>
      </c>
      <c r="J1513" s="5" t="s">
        <v>74</v>
      </c>
      <c r="K1513" s="7">
        <v>0</v>
      </c>
      <c r="L1513" s="8">
        <v>21</v>
      </c>
      <c r="M1513" s="9"/>
    </row>
    <row r="1514" s="1" customFormat="1" ht="20.1" customHeight="1" spans="1:13">
      <c r="A1514" s="4" t="str">
        <f>"37502022030218160625692"</f>
        <v>37502022030218160625692</v>
      </c>
      <c r="B1514" s="4" t="s">
        <v>1483</v>
      </c>
      <c r="C1514" s="4" t="s">
        <v>1484</v>
      </c>
      <c r="D1514" s="4" t="str">
        <f>"20220325112"</f>
        <v>20220325112</v>
      </c>
      <c r="E1514" s="4" t="str">
        <f t="shared" si="300"/>
        <v>51</v>
      </c>
      <c r="F1514" s="4" t="str">
        <f>"12"</f>
        <v>12</v>
      </c>
      <c r="G1514" s="5">
        <v>79.11</v>
      </c>
      <c r="H1514" s="5" t="s">
        <v>14</v>
      </c>
      <c r="I1514" s="5">
        <v>81.8</v>
      </c>
      <c r="J1514" s="5" t="s">
        <v>14</v>
      </c>
      <c r="K1514" s="7">
        <v>80.99</v>
      </c>
      <c r="L1514" s="8">
        <v>1</v>
      </c>
      <c r="M1514" s="9"/>
    </row>
    <row r="1515" s="1" customFormat="1" ht="20.1" customHeight="1" spans="1:13">
      <c r="A1515" s="4" t="str">
        <f>"37502022022608510118655"</f>
        <v>37502022022608510118655</v>
      </c>
      <c r="B1515" s="4" t="s">
        <v>1483</v>
      </c>
      <c r="C1515" s="4" t="s">
        <v>1485</v>
      </c>
      <c r="D1515" s="4" t="str">
        <f>"20220325120"</f>
        <v>20220325120</v>
      </c>
      <c r="E1515" s="4" t="str">
        <f t="shared" si="300"/>
        <v>51</v>
      </c>
      <c r="F1515" s="4" t="str">
        <f>"20"</f>
        <v>20</v>
      </c>
      <c r="G1515" s="5">
        <v>79.34</v>
      </c>
      <c r="H1515" s="5" t="s">
        <v>14</v>
      </c>
      <c r="I1515" s="5">
        <v>80.2</v>
      </c>
      <c r="J1515" s="5" t="s">
        <v>14</v>
      </c>
      <c r="K1515" s="7">
        <v>79.94</v>
      </c>
      <c r="L1515" s="8">
        <v>2</v>
      </c>
      <c r="M1515" s="9"/>
    </row>
    <row r="1516" s="1" customFormat="1" ht="20.1" customHeight="1" spans="1:13">
      <c r="A1516" s="4" t="str">
        <f>"37502022022609261618712"</f>
        <v>37502022022609261618712</v>
      </c>
      <c r="B1516" s="4" t="s">
        <v>1483</v>
      </c>
      <c r="C1516" s="4" t="s">
        <v>1486</v>
      </c>
      <c r="D1516" s="4" t="str">
        <f>"20220325115"</f>
        <v>20220325115</v>
      </c>
      <c r="E1516" s="4" t="str">
        <f t="shared" si="300"/>
        <v>51</v>
      </c>
      <c r="F1516" s="4" t="str">
        <f>"15"</f>
        <v>15</v>
      </c>
      <c r="G1516" s="5">
        <v>75.65</v>
      </c>
      <c r="H1516" s="5" t="s">
        <v>14</v>
      </c>
      <c r="I1516" s="5">
        <v>80.9</v>
      </c>
      <c r="J1516" s="5" t="s">
        <v>14</v>
      </c>
      <c r="K1516" s="7">
        <v>79.33</v>
      </c>
      <c r="L1516" s="8">
        <v>3</v>
      </c>
      <c r="M1516" s="9"/>
    </row>
    <row r="1517" s="1" customFormat="1" ht="20.1" customHeight="1" spans="1:13">
      <c r="A1517" s="4" t="str">
        <f>"37502022030215050125445"</f>
        <v>37502022030215050125445</v>
      </c>
      <c r="B1517" s="4" t="s">
        <v>1483</v>
      </c>
      <c r="C1517" s="4" t="s">
        <v>1487</v>
      </c>
      <c r="D1517" s="4" t="str">
        <f>"20220325205"</f>
        <v>20220325205</v>
      </c>
      <c r="E1517" s="4" t="str">
        <f t="shared" ref="E1517:E1521" si="301">"52"</f>
        <v>52</v>
      </c>
      <c r="F1517" s="4" t="str">
        <f>"05"</f>
        <v>05</v>
      </c>
      <c r="G1517" s="5">
        <v>76.8</v>
      </c>
      <c r="H1517" s="5" t="s">
        <v>14</v>
      </c>
      <c r="I1517" s="5">
        <v>79.8</v>
      </c>
      <c r="J1517" s="5" t="s">
        <v>14</v>
      </c>
      <c r="K1517" s="7">
        <v>78.9</v>
      </c>
      <c r="L1517" s="8">
        <v>4</v>
      </c>
      <c r="M1517" s="9"/>
    </row>
    <row r="1518" s="1" customFormat="1" ht="20.1" customHeight="1" spans="1:13">
      <c r="A1518" s="4" t="str">
        <f>"37502022030122010724644"</f>
        <v>37502022030122010724644</v>
      </c>
      <c r="B1518" s="4" t="s">
        <v>1483</v>
      </c>
      <c r="C1518" s="4" t="s">
        <v>1488</v>
      </c>
      <c r="D1518" s="4" t="str">
        <f>"20220325114"</f>
        <v>20220325114</v>
      </c>
      <c r="E1518" s="4" t="str">
        <f t="shared" ref="E1518:E1523" si="302">"51"</f>
        <v>51</v>
      </c>
      <c r="F1518" s="4" t="str">
        <f>"14"</f>
        <v>14</v>
      </c>
      <c r="G1518" s="5">
        <v>79.89</v>
      </c>
      <c r="H1518" s="5" t="s">
        <v>14</v>
      </c>
      <c r="I1518" s="5">
        <v>77.3</v>
      </c>
      <c r="J1518" s="5" t="s">
        <v>14</v>
      </c>
      <c r="K1518" s="7">
        <v>78.08</v>
      </c>
      <c r="L1518" s="8">
        <v>5</v>
      </c>
      <c r="M1518" s="9"/>
    </row>
    <row r="1519" s="1" customFormat="1" ht="20.1" customHeight="1" spans="1:13">
      <c r="A1519" s="4" t="str">
        <f>"37502022022617191019439"</f>
        <v>37502022022617191019439</v>
      </c>
      <c r="B1519" s="4" t="s">
        <v>1483</v>
      </c>
      <c r="C1519" s="4" t="s">
        <v>1489</v>
      </c>
      <c r="D1519" s="4" t="str">
        <f>"20220325202"</f>
        <v>20220325202</v>
      </c>
      <c r="E1519" s="4" t="str">
        <f t="shared" si="301"/>
        <v>52</v>
      </c>
      <c r="F1519" s="4" t="str">
        <f>"02"</f>
        <v>02</v>
      </c>
      <c r="G1519" s="5">
        <v>70.8</v>
      </c>
      <c r="H1519" s="5" t="s">
        <v>14</v>
      </c>
      <c r="I1519" s="5">
        <v>73.3</v>
      </c>
      <c r="J1519" s="5" t="s">
        <v>14</v>
      </c>
      <c r="K1519" s="7">
        <v>72.55</v>
      </c>
      <c r="L1519" s="8">
        <v>6</v>
      </c>
      <c r="M1519" s="9"/>
    </row>
    <row r="1520" s="1" customFormat="1" ht="20.1" customHeight="1" spans="1:13">
      <c r="A1520" s="4" t="str">
        <f>"37502022030119022324296"</f>
        <v>37502022030119022324296</v>
      </c>
      <c r="B1520" s="4" t="s">
        <v>1483</v>
      </c>
      <c r="C1520" s="4" t="s">
        <v>1490</v>
      </c>
      <c r="D1520" s="4" t="str">
        <f>"20220325129"</f>
        <v>20220325129</v>
      </c>
      <c r="E1520" s="4" t="str">
        <f t="shared" si="302"/>
        <v>51</v>
      </c>
      <c r="F1520" s="4" t="str">
        <f>"29"</f>
        <v>29</v>
      </c>
      <c r="G1520" s="5">
        <v>72.15</v>
      </c>
      <c r="H1520" s="5" t="s">
        <v>14</v>
      </c>
      <c r="I1520" s="5">
        <v>72.6</v>
      </c>
      <c r="J1520" s="5" t="s">
        <v>14</v>
      </c>
      <c r="K1520" s="7">
        <v>72.47</v>
      </c>
      <c r="L1520" s="8">
        <v>7</v>
      </c>
      <c r="M1520" s="9"/>
    </row>
    <row r="1521" s="1" customFormat="1" ht="20.1" customHeight="1" spans="1:13">
      <c r="A1521" s="4" t="str">
        <f>"37502022030120394324481"</f>
        <v>37502022030120394324481</v>
      </c>
      <c r="B1521" s="4" t="s">
        <v>1483</v>
      </c>
      <c r="C1521" s="4" t="s">
        <v>1491</v>
      </c>
      <c r="D1521" s="4" t="str">
        <f>"20220325203"</f>
        <v>20220325203</v>
      </c>
      <c r="E1521" s="4" t="str">
        <f t="shared" si="301"/>
        <v>52</v>
      </c>
      <c r="F1521" s="4" t="str">
        <f>"03"</f>
        <v>03</v>
      </c>
      <c r="G1521" s="5">
        <v>78.65</v>
      </c>
      <c r="H1521" s="5" t="s">
        <v>14</v>
      </c>
      <c r="I1521" s="5">
        <v>69.3</v>
      </c>
      <c r="J1521" s="5" t="s">
        <v>14</v>
      </c>
      <c r="K1521" s="7">
        <v>72.11</v>
      </c>
      <c r="L1521" s="8">
        <v>8</v>
      </c>
      <c r="M1521" s="9"/>
    </row>
    <row r="1522" s="1" customFormat="1" ht="20.1" customHeight="1" spans="1:13">
      <c r="A1522" s="4" t="str">
        <f>"37502022030119185924338"</f>
        <v>37502022030119185924338</v>
      </c>
      <c r="B1522" s="4" t="s">
        <v>1483</v>
      </c>
      <c r="C1522" s="4" t="s">
        <v>495</v>
      </c>
      <c r="D1522" s="4" t="str">
        <f>"20220325121"</f>
        <v>20220325121</v>
      </c>
      <c r="E1522" s="4" t="str">
        <f t="shared" si="302"/>
        <v>51</v>
      </c>
      <c r="F1522" s="4" t="str">
        <f>"21"</f>
        <v>21</v>
      </c>
      <c r="G1522" s="5">
        <v>71.77</v>
      </c>
      <c r="H1522" s="5" t="s">
        <v>14</v>
      </c>
      <c r="I1522" s="5">
        <v>71.5</v>
      </c>
      <c r="J1522" s="5" t="s">
        <v>14</v>
      </c>
      <c r="K1522" s="7">
        <v>71.58</v>
      </c>
      <c r="L1522" s="8">
        <v>9</v>
      </c>
      <c r="M1522" s="9"/>
    </row>
    <row r="1523" s="1" customFormat="1" ht="20.1" customHeight="1" spans="1:13">
      <c r="A1523" s="4" t="str">
        <f>"37502022030120234624453"</f>
        <v>37502022030120234624453</v>
      </c>
      <c r="B1523" s="4" t="s">
        <v>1483</v>
      </c>
      <c r="C1523" s="4" t="s">
        <v>1492</v>
      </c>
      <c r="D1523" s="4" t="str">
        <f>"20220325130"</f>
        <v>20220325130</v>
      </c>
      <c r="E1523" s="4" t="str">
        <f t="shared" si="302"/>
        <v>51</v>
      </c>
      <c r="F1523" s="4" t="str">
        <f>"30"</f>
        <v>30</v>
      </c>
      <c r="G1523" s="5">
        <v>76.87</v>
      </c>
      <c r="H1523" s="5" t="s">
        <v>14</v>
      </c>
      <c r="I1523" s="5">
        <v>67.4</v>
      </c>
      <c r="J1523" s="5" t="s">
        <v>14</v>
      </c>
      <c r="K1523" s="7">
        <v>70.24</v>
      </c>
      <c r="L1523" s="8">
        <v>10</v>
      </c>
      <c r="M1523" s="9"/>
    </row>
    <row r="1524" s="1" customFormat="1" ht="20.1" customHeight="1" spans="1:13">
      <c r="A1524" s="4" t="str">
        <f>"37502022022720283520809"</f>
        <v>37502022022720283520809</v>
      </c>
      <c r="B1524" s="4" t="s">
        <v>1483</v>
      </c>
      <c r="C1524" s="4" t="s">
        <v>1493</v>
      </c>
      <c r="D1524" s="4" t="str">
        <f>"20220325201"</f>
        <v>20220325201</v>
      </c>
      <c r="E1524" s="4" t="str">
        <f>"52"</f>
        <v>52</v>
      </c>
      <c r="F1524" s="4" t="str">
        <f>"01"</f>
        <v>01</v>
      </c>
      <c r="G1524" s="5">
        <v>72.01</v>
      </c>
      <c r="H1524" s="5" t="s">
        <v>14</v>
      </c>
      <c r="I1524" s="5">
        <v>69.3</v>
      </c>
      <c r="J1524" s="5" t="s">
        <v>14</v>
      </c>
      <c r="K1524" s="7">
        <v>70.11</v>
      </c>
      <c r="L1524" s="8">
        <v>11</v>
      </c>
      <c r="M1524" s="9"/>
    </row>
    <row r="1525" s="1" customFormat="1" ht="20.1" customHeight="1" spans="1:13">
      <c r="A1525" s="4" t="str">
        <f>"37502022030117384124145"</f>
        <v>37502022030117384124145</v>
      </c>
      <c r="B1525" s="4" t="s">
        <v>1483</v>
      </c>
      <c r="C1525" s="4" t="s">
        <v>1494</v>
      </c>
      <c r="D1525" s="4" t="str">
        <f>"20220325117"</f>
        <v>20220325117</v>
      </c>
      <c r="E1525" s="4" t="str">
        <f t="shared" ref="E1525:E1527" si="303">"51"</f>
        <v>51</v>
      </c>
      <c r="F1525" s="4" t="str">
        <f>"17"</f>
        <v>17</v>
      </c>
      <c r="G1525" s="5">
        <v>67.12</v>
      </c>
      <c r="H1525" s="5" t="s">
        <v>14</v>
      </c>
      <c r="I1525" s="5">
        <v>71.3</v>
      </c>
      <c r="J1525" s="5" t="s">
        <v>14</v>
      </c>
      <c r="K1525" s="7">
        <v>70.05</v>
      </c>
      <c r="L1525" s="8">
        <v>12</v>
      </c>
      <c r="M1525" s="9"/>
    </row>
    <row r="1526" s="1" customFormat="1" ht="20.1" customHeight="1" spans="1:13">
      <c r="A1526" s="4" t="str">
        <f>"37502022030212325525211"</f>
        <v>37502022030212325525211</v>
      </c>
      <c r="B1526" s="4" t="s">
        <v>1483</v>
      </c>
      <c r="C1526" s="4" t="s">
        <v>1495</v>
      </c>
      <c r="D1526" s="4" t="str">
        <f>"20220325127"</f>
        <v>20220325127</v>
      </c>
      <c r="E1526" s="4" t="str">
        <f t="shared" si="303"/>
        <v>51</v>
      </c>
      <c r="F1526" s="4" t="str">
        <f>"27"</f>
        <v>27</v>
      </c>
      <c r="G1526" s="5">
        <v>70.3</v>
      </c>
      <c r="H1526" s="5" t="s">
        <v>14</v>
      </c>
      <c r="I1526" s="5">
        <v>68.8</v>
      </c>
      <c r="J1526" s="5" t="s">
        <v>14</v>
      </c>
      <c r="K1526" s="7">
        <v>69.25</v>
      </c>
      <c r="L1526" s="8">
        <v>13</v>
      </c>
      <c r="M1526" s="9"/>
    </row>
    <row r="1527" s="1" customFormat="1" ht="20.1" customHeight="1" spans="1:13">
      <c r="A1527" s="4" t="str">
        <f>"37502022030109403323272"</f>
        <v>37502022030109403323272</v>
      </c>
      <c r="B1527" s="4" t="s">
        <v>1483</v>
      </c>
      <c r="C1527" s="4" t="s">
        <v>241</v>
      </c>
      <c r="D1527" s="4" t="str">
        <f>"20220325124"</f>
        <v>20220325124</v>
      </c>
      <c r="E1527" s="4" t="str">
        <f t="shared" si="303"/>
        <v>51</v>
      </c>
      <c r="F1527" s="4" t="str">
        <f>"24"</f>
        <v>24</v>
      </c>
      <c r="G1527" s="5">
        <v>61.92</v>
      </c>
      <c r="H1527" s="5" t="s">
        <v>14</v>
      </c>
      <c r="I1527" s="5">
        <v>71.8</v>
      </c>
      <c r="J1527" s="5" t="s">
        <v>14</v>
      </c>
      <c r="K1527" s="7">
        <v>68.84</v>
      </c>
      <c r="L1527" s="8">
        <v>14</v>
      </c>
      <c r="M1527" s="9"/>
    </row>
    <row r="1528" s="1" customFormat="1" ht="20.1" customHeight="1" spans="1:13">
      <c r="A1528" s="4" t="str">
        <f>"37502022030200210724763"</f>
        <v>37502022030200210724763</v>
      </c>
      <c r="B1528" s="4" t="s">
        <v>1483</v>
      </c>
      <c r="C1528" s="4" t="s">
        <v>791</v>
      </c>
      <c r="D1528" s="4" t="str">
        <f>"20220325206"</f>
        <v>20220325206</v>
      </c>
      <c r="E1528" s="4" t="str">
        <f>"52"</f>
        <v>52</v>
      </c>
      <c r="F1528" s="4" t="str">
        <f>"06"</f>
        <v>06</v>
      </c>
      <c r="G1528" s="5">
        <v>69.88</v>
      </c>
      <c r="H1528" s="5" t="s">
        <v>14</v>
      </c>
      <c r="I1528" s="5">
        <v>66.5</v>
      </c>
      <c r="J1528" s="5" t="s">
        <v>14</v>
      </c>
      <c r="K1528" s="7">
        <v>67.51</v>
      </c>
      <c r="L1528" s="8">
        <v>15</v>
      </c>
      <c r="M1528" s="9"/>
    </row>
    <row r="1529" s="1" customFormat="1" ht="20.1" customHeight="1" spans="1:13">
      <c r="A1529" s="4" t="str">
        <f>"37502022022619513119579"</f>
        <v>37502022022619513119579</v>
      </c>
      <c r="B1529" s="4" t="s">
        <v>1483</v>
      </c>
      <c r="C1529" s="4" t="s">
        <v>1496</v>
      </c>
      <c r="D1529" s="4" t="str">
        <f>"20220325118"</f>
        <v>20220325118</v>
      </c>
      <c r="E1529" s="4" t="str">
        <f t="shared" ref="E1529:E1532" si="304">"51"</f>
        <v>51</v>
      </c>
      <c r="F1529" s="4" t="str">
        <f>"18"</f>
        <v>18</v>
      </c>
      <c r="G1529" s="5">
        <v>60.12</v>
      </c>
      <c r="H1529" s="5" t="s">
        <v>14</v>
      </c>
      <c r="I1529" s="5">
        <v>70.1</v>
      </c>
      <c r="J1529" s="5" t="s">
        <v>14</v>
      </c>
      <c r="K1529" s="7">
        <v>67.11</v>
      </c>
      <c r="L1529" s="8">
        <v>16</v>
      </c>
      <c r="M1529" s="9"/>
    </row>
    <row r="1530" s="1" customFormat="1" ht="20.1" customHeight="1" spans="1:13">
      <c r="A1530" s="4" t="str">
        <f>"37502022030111383123558"</f>
        <v>37502022030111383123558</v>
      </c>
      <c r="B1530" s="4" t="s">
        <v>1483</v>
      </c>
      <c r="C1530" s="4" t="s">
        <v>1420</v>
      </c>
      <c r="D1530" s="4" t="str">
        <f>"20220325123"</f>
        <v>20220325123</v>
      </c>
      <c r="E1530" s="4" t="str">
        <f t="shared" si="304"/>
        <v>51</v>
      </c>
      <c r="F1530" s="4" t="str">
        <f>"23"</f>
        <v>23</v>
      </c>
      <c r="G1530" s="5">
        <v>60.02</v>
      </c>
      <c r="H1530" s="5" t="s">
        <v>14</v>
      </c>
      <c r="I1530" s="5">
        <v>68.4</v>
      </c>
      <c r="J1530" s="5" t="s">
        <v>14</v>
      </c>
      <c r="K1530" s="7">
        <v>65.89</v>
      </c>
      <c r="L1530" s="8">
        <v>17</v>
      </c>
      <c r="M1530" s="9"/>
    </row>
    <row r="1531" s="1" customFormat="1" ht="20.1" customHeight="1" spans="1:13">
      <c r="A1531" s="4" t="str">
        <f>"37502022022721114020892"</f>
        <v>37502022022721114020892</v>
      </c>
      <c r="B1531" s="4" t="s">
        <v>1483</v>
      </c>
      <c r="C1531" s="4" t="s">
        <v>1497</v>
      </c>
      <c r="D1531" s="4" t="str">
        <f>"20220325125"</f>
        <v>20220325125</v>
      </c>
      <c r="E1531" s="4" t="str">
        <f t="shared" si="304"/>
        <v>51</v>
      </c>
      <c r="F1531" s="4" t="str">
        <f>"25"</f>
        <v>25</v>
      </c>
      <c r="G1531" s="5">
        <v>62.56</v>
      </c>
      <c r="H1531" s="5" t="s">
        <v>14</v>
      </c>
      <c r="I1531" s="5">
        <v>62.8</v>
      </c>
      <c r="J1531" s="5" t="s">
        <v>14</v>
      </c>
      <c r="K1531" s="7">
        <v>62.73</v>
      </c>
      <c r="L1531" s="8">
        <v>18</v>
      </c>
      <c r="M1531" s="9"/>
    </row>
    <row r="1532" s="1" customFormat="1" ht="20.1" customHeight="1" spans="1:13">
      <c r="A1532" s="4" t="str">
        <f>"37502022022712302620098"</f>
        <v>37502022022712302620098</v>
      </c>
      <c r="B1532" s="4" t="s">
        <v>1483</v>
      </c>
      <c r="C1532" s="4" t="s">
        <v>1498</v>
      </c>
      <c r="D1532" s="4" t="str">
        <f>"20220325116"</f>
        <v>20220325116</v>
      </c>
      <c r="E1532" s="4" t="str">
        <f t="shared" si="304"/>
        <v>51</v>
      </c>
      <c r="F1532" s="4" t="str">
        <f>"16"</f>
        <v>16</v>
      </c>
      <c r="G1532" s="5">
        <v>53.05</v>
      </c>
      <c r="H1532" s="5" t="s">
        <v>14</v>
      </c>
      <c r="I1532" s="5">
        <v>66.3</v>
      </c>
      <c r="J1532" s="5" t="s">
        <v>14</v>
      </c>
      <c r="K1532" s="7">
        <v>62.33</v>
      </c>
      <c r="L1532" s="8">
        <v>19</v>
      </c>
      <c r="M1532" s="9"/>
    </row>
    <row r="1533" s="1" customFormat="1" ht="20.1" customHeight="1" spans="1:13">
      <c r="A1533" s="4" t="str">
        <f>"37502022030107350123103"</f>
        <v>37502022030107350123103</v>
      </c>
      <c r="B1533" s="4" t="s">
        <v>1483</v>
      </c>
      <c r="C1533" s="4" t="s">
        <v>1499</v>
      </c>
      <c r="D1533" s="4" t="str">
        <f>"20220325204"</f>
        <v>20220325204</v>
      </c>
      <c r="E1533" s="4" t="str">
        <f>"52"</f>
        <v>52</v>
      </c>
      <c r="F1533" s="4" t="str">
        <f>"04"</f>
        <v>04</v>
      </c>
      <c r="G1533" s="5">
        <v>60.92</v>
      </c>
      <c r="H1533" s="5" t="s">
        <v>14</v>
      </c>
      <c r="I1533" s="5">
        <v>59.2</v>
      </c>
      <c r="J1533" s="5" t="s">
        <v>14</v>
      </c>
      <c r="K1533" s="7">
        <v>59.72</v>
      </c>
      <c r="L1533" s="8">
        <v>20</v>
      </c>
      <c r="M1533" s="9"/>
    </row>
    <row r="1534" s="1" customFormat="1" ht="20.1" customHeight="1" spans="1:13">
      <c r="A1534" s="4" t="str">
        <f>"37502022030210035424981"</f>
        <v>37502022030210035424981</v>
      </c>
      <c r="B1534" s="4" t="s">
        <v>1483</v>
      </c>
      <c r="C1534" s="4" t="s">
        <v>1500</v>
      </c>
      <c r="D1534" s="4" t="str">
        <f>"20220325126"</f>
        <v>20220325126</v>
      </c>
      <c r="E1534" s="4" t="str">
        <f t="shared" ref="E1534:E1538" si="305">"51"</f>
        <v>51</v>
      </c>
      <c r="F1534" s="4" t="str">
        <f>"26"</f>
        <v>26</v>
      </c>
      <c r="G1534" s="5">
        <v>52.38</v>
      </c>
      <c r="H1534" s="5" t="s">
        <v>14</v>
      </c>
      <c r="I1534" s="5">
        <v>59.9</v>
      </c>
      <c r="J1534" s="5" t="s">
        <v>14</v>
      </c>
      <c r="K1534" s="7">
        <v>57.64</v>
      </c>
      <c r="L1534" s="8">
        <v>21</v>
      </c>
      <c r="M1534" s="9"/>
    </row>
    <row r="1535" s="1" customFormat="1" ht="20.1" customHeight="1" spans="1:13">
      <c r="A1535" s="4" t="str">
        <f>"37502022022820530222976"</f>
        <v>37502022022820530222976</v>
      </c>
      <c r="B1535" s="4" t="s">
        <v>1483</v>
      </c>
      <c r="C1535" s="4" t="s">
        <v>1501</v>
      </c>
      <c r="D1535" s="4" t="str">
        <f>"20220325128"</f>
        <v>20220325128</v>
      </c>
      <c r="E1535" s="4" t="str">
        <f t="shared" si="305"/>
        <v>51</v>
      </c>
      <c r="F1535" s="4" t="str">
        <f>"28"</f>
        <v>28</v>
      </c>
      <c r="G1535" s="5">
        <v>51.16</v>
      </c>
      <c r="H1535" s="5" t="s">
        <v>14</v>
      </c>
      <c r="I1535" s="5">
        <v>60</v>
      </c>
      <c r="J1535" s="5" t="s">
        <v>14</v>
      </c>
      <c r="K1535" s="7">
        <v>57.35</v>
      </c>
      <c r="L1535" s="8">
        <v>22</v>
      </c>
      <c r="M1535" s="9"/>
    </row>
    <row r="1536" s="1" customFormat="1" ht="20.1" customHeight="1" spans="1:13">
      <c r="A1536" s="4" t="str">
        <f>"37502022022616391519400"</f>
        <v>37502022022616391519400</v>
      </c>
      <c r="B1536" s="4" t="s">
        <v>1483</v>
      </c>
      <c r="C1536" s="4" t="s">
        <v>1502</v>
      </c>
      <c r="D1536" s="4" t="str">
        <f>"20220325113"</f>
        <v>20220325113</v>
      </c>
      <c r="E1536" s="4" t="str">
        <f t="shared" si="305"/>
        <v>51</v>
      </c>
      <c r="F1536" s="4" t="str">
        <f>"13"</f>
        <v>13</v>
      </c>
      <c r="G1536" s="5">
        <v>60.09</v>
      </c>
      <c r="H1536" s="5" t="s">
        <v>14</v>
      </c>
      <c r="I1536" s="5">
        <v>54.2</v>
      </c>
      <c r="J1536" s="5" t="s">
        <v>14</v>
      </c>
      <c r="K1536" s="7">
        <v>55.97</v>
      </c>
      <c r="L1536" s="8">
        <v>23</v>
      </c>
      <c r="M1536" s="9"/>
    </row>
    <row r="1537" s="1" customFormat="1" ht="20.1" customHeight="1" spans="1:13">
      <c r="A1537" s="4" t="str">
        <f>"37502022022821574423039"</f>
        <v>37502022022821574423039</v>
      </c>
      <c r="B1537" s="4" t="s">
        <v>1483</v>
      </c>
      <c r="C1537" s="4" t="s">
        <v>1503</v>
      </c>
      <c r="D1537" s="4" t="str">
        <f>"20220325122"</f>
        <v>20220325122</v>
      </c>
      <c r="E1537" s="4" t="str">
        <f t="shared" si="305"/>
        <v>51</v>
      </c>
      <c r="F1537" s="4" t="str">
        <f>"22"</f>
        <v>22</v>
      </c>
      <c r="G1537" s="5">
        <v>0</v>
      </c>
      <c r="H1537" s="5" t="s">
        <v>74</v>
      </c>
      <c r="I1537" s="5">
        <v>0</v>
      </c>
      <c r="J1537" s="5" t="s">
        <v>74</v>
      </c>
      <c r="K1537" s="7">
        <v>0</v>
      </c>
      <c r="L1537" s="8">
        <v>24</v>
      </c>
      <c r="M1537" s="9"/>
    </row>
    <row r="1538" s="1" customFormat="1" ht="20.1" customHeight="1" spans="1:13">
      <c r="A1538" s="4" t="str">
        <f>"37502022030210471025056"</f>
        <v>37502022030210471025056</v>
      </c>
      <c r="B1538" s="4" t="s">
        <v>1483</v>
      </c>
      <c r="C1538" s="4" t="s">
        <v>1504</v>
      </c>
      <c r="D1538" s="4" t="str">
        <f>"20220325119"</f>
        <v>20220325119</v>
      </c>
      <c r="E1538" s="4" t="str">
        <f t="shared" si="305"/>
        <v>51</v>
      </c>
      <c r="F1538" s="4" t="str">
        <f>"19"</f>
        <v>19</v>
      </c>
      <c r="G1538" s="5">
        <v>0</v>
      </c>
      <c r="H1538" s="5" t="s">
        <v>74</v>
      </c>
      <c r="I1538" s="5">
        <v>0</v>
      </c>
      <c r="J1538" s="5" t="s">
        <v>74</v>
      </c>
      <c r="K1538" s="7">
        <v>0</v>
      </c>
      <c r="L1538" s="8">
        <v>24</v>
      </c>
      <c r="M1538" s="9"/>
    </row>
    <row r="1539" s="1" customFormat="1" ht="20.1" customHeight="1" spans="1:13">
      <c r="A1539" s="4" t="str">
        <f>"37502022030112120123610"</f>
        <v>37502022030112120123610</v>
      </c>
      <c r="B1539" s="4" t="s">
        <v>1505</v>
      </c>
      <c r="C1539" s="4" t="s">
        <v>1506</v>
      </c>
      <c r="D1539" s="4" t="str">
        <f>"20220335209"</f>
        <v>20220335209</v>
      </c>
      <c r="E1539" s="4" t="str">
        <f t="shared" ref="E1539:E1556" si="306">"52"</f>
        <v>52</v>
      </c>
      <c r="F1539" s="4" t="str">
        <f>"09"</f>
        <v>09</v>
      </c>
      <c r="G1539" s="5">
        <v>75.41</v>
      </c>
      <c r="H1539" s="5" t="s">
        <v>14</v>
      </c>
      <c r="I1539" s="5">
        <v>80</v>
      </c>
      <c r="J1539" s="5" t="s">
        <v>14</v>
      </c>
      <c r="K1539" s="7">
        <v>78.62</v>
      </c>
      <c r="L1539" s="8">
        <v>1</v>
      </c>
      <c r="M1539" s="9"/>
    </row>
    <row r="1540" s="1" customFormat="1" ht="20.1" customHeight="1" spans="1:13">
      <c r="A1540" s="4" t="str">
        <f>"37502022030121440824615"</f>
        <v>37502022030121440824615</v>
      </c>
      <c r="B1540" s="4" t="s">
        <v>1505</v>
      </c>
      <c r="C1540" s="4" t="s">
        <v>1507</v>
      </c>
      <c r="D1540" s="4" t="str">
        <f>"20220335208"</f>
        <v>20220335208</v>
      </c>
      <c r="E1540" s="4" t="str">
        <f t="shared" si="306"/>
        <v>52</v>
      </c>
      <c r="F1540" s="4" t="str">
        <f>"08"</f>
        <v>08</v>
      </c>
      <c r="G1540" s="5">
        <v>80.26</v>
      </c>
      <c r="H1540" s="5" t="s">
        <v>14</v>
      </c>
      <c r="I1540" s="5">
        <v>77.6</v>
      </c>
      <c r="J1540" s="5" t="s">
        <v>14</v>
      </c>
      <c r="K1540" s="7">
        <v>78.4</v>
      </c>
      <c r="L1540" s="8">
        <v>2</v>
      </c>
      <c r="M1540" s="9"/>
    </row>
    <row r="1541" s="1" customFormat="1" ht="20.1" customHeight="1" spans="1:13">
      <c r="A1541" s="4" t="str">
        <f>"37502022030117395124148"</f>
        <v>37502022030117395124148</v>
      </c>
      <c r="B1541" s="4" t="s">
        <v>1505</v>
      </c>
      <c r="C1541" s="4" t="s">
        <v>1508</v>
      </c>
      <c r="D1541" s="4" t="str">
        <f>"20220335212"</f>
        <v>20220335212</v>
      </c>
      <c r="E1541" s="4" t="str">
        <f t="shared" si="306"/>
        <v>52</v>
      </c>
      <c r="F1541" s="4" t="str">
        <f>"12"</f>
        <v>12</v>
      </c>
      <c r="G1541" s="5">
        <v>78.83</v>
      </c>
      <c r="H1541" s="5" t="s">
        <v>14</v>
      </c>
      <c r="I1541" s="5">
        <v>75.9</v>
      </c>
      <c r="J1541" s="5" t="s">
        <v>14</v>
      </c>
      <c r="K1541" s="7">
        <v>76.78</v>
      </c>
      <c r="L1541" s="8">
        <v>3</v>
      </c>
      <c r="M1541" s="9"/>
    </row>
    <row r="1542" s="1" customFormat="1" ht="20.1" customHeight="1" spans="1:13">
      <c r="A1542" s="4" t="str">
        <f>"37502022030110583223470"</f>
        <v>37502022030110583223470</v>
      </c>
      <c r="B1542" s="4" t="s">
        <v>1505</v>
      </c>
      <c r="C1542" s="4" t="s">
        <v>1509</v>
      </c>
      <c r="D1542" s="4" t="str">
        <f>"20220335215"</f>
        <v>20220335215</v>
      </c>
      <c r="E1542" s="4" t="str">
        <f t="shared" si="306"/>
        <v>52</v>
      </c>
      <c r="F1542" s="4" t="str">
        <f>"15"</f>
        <v>15</v>
      </c>
      <c r="G1542" s="5">
        <v>74.05</v>
      </c>
      <c r="H1542" s="5" t="s">
        <v>14</v>
      </c>
      <c r="I1542" s="5">
        <v>77.1</v>
      </c>
      <c r="J1542" s="5" t="s">
        <v>14</v>
      </c>
      <c r="K1542" s="7">
        <v>76.19</v>
      </c>
      <c r="L1542" s="8">
        <v>4</v>
      </c>
      <c r="M1542" s="9"/>
    </row>
    <row r="1543" s="1" customFormat="1" ht="20.1" customHeight="1" spans="1:13">
      <c r="A1543" s="4" t="str">
        <f>"37502022030210430125049"</f>
        <v>37502022030210430125049</v>
      </c>
      <c r="B1543" s="4" t="s">
        <v>1505</v>
      </c>
      <c r="C1543" s="4" t="s">
        <v>1510</v>
      </c>
      <c r="D1543" s="4" t="str">
        <f>"20220335216"</f>
        <v>20220335216</v>
      </c>
      <c r="E1543" s="4" t="str">
        <f t="shared" si="306"/>
        <v>52</v>
      </c>
      <c r="F1543" s="4" t="str">
        <f>"16"</f>
        <v>16</v>
      </c>
      <c r="G1543" s="5">
        <v>54.2</v>
      </c>
      <c r="H1543" s="5" t="s">
        <v>14</v>
      </c>
      <c r="I1543" s="5">
        <v>84.4</v>
      </c>
      <c r="J1543" s="5" t="s">
        <v>14</v>
      </c>
      <c r="K1543" s="7">
        <v>75.34</v>
      </c>
      <c r="L1543" s="8">
        <v>5</v>
      </c>
      <c r="M1543" s="9"/>
    </row>
    <row r="1544" s="1" customFormat="1" ht="20.1" customHeight="1" spans="1:13">
      <c r="A1544" s="4" t="str">
        <f>"37502022030120064924419"</f>
        <v>37502022030120064924419</v>
      </c>
      <c r="B1544" s="4" t="s">
        <v>1505</v>
      </c>
      <c r="C1544" s="4" t="s">
        <v>1511</v>
      </c>
      <c r="D1544" s="4" t="str">
        <f>"20220335219"</f>
        <v>20220335219</v>
      </c>
      <c r="E1544" s="4" t="str">
        <f t="shared" si="306"/>
        <v>52</v>
      </c>
      <c r="F1544" s="4" t="str">
        <f>"19"</f>
        <v>19</v>
      </c>
      <c r="G1544" s="5">
        <v>68.48</v>
      </c>
      <c r="H1544" s="5" t="s">
        <v>14</v>
      </c>
      <c r="I1544" s="5">
        <v>78.1</v>
      </c>
      <c r="J1544" s="5" t="s">
        <v>14</v>
      </c>
      <c r="K1544" s="7">
        <v>75.21</v>
      </c>
      <c r="L1544" s="8">
        <v>6</v>
      </c>
      <c r="M1544" s="9"/>
    </row>
    <row r="1545" s="1" customFormat="1" ht="20.1" customHeight="1" spans="1:13">
      <c r="A1545" s="4" t="str">
        <f>"37502022022723152021157"</f>
        <v>37502022022723152021157</v>
      </c>
      <c r="B1545" s="4" t="s">
        <v>1505</v>
      </c>
      <c r="C1545" s="4" t="s">
        <v>1512</v>
      </c>
      <c r="D1545" s="4" t="str">
        <f>"20220335213"</f>
        <v>20220335213</v>
      </c>
      <c r="E1545" s="4" t="str">
        <f t="shared" si="306"/>
        <v>52</v>
      </c>
      <c r="F1545" s="4" t="str">
        <f>"13"</f>
        <v>13</v>
      </c>
      <c r="G1545" s="5">
        <v>74.41</v>
      </c>
      <c r="H1545" s="5" t="s">
        <v>14</v>
      </c>
      <c r="I1545" s="5">
        <v>74.6</v>
      </c>
      <c r="J1545" s="5" t="s">
        <v>14</v>
      </c>
      <c r="K1545" s="7">
        <v>74.54</v>
      </c>
      <c r="L1545" s="8">
        <v>7</v>
      </c>
      <c r="M1545" s="9"/>
    </row>
    <row r="1546" s="1" customFormat="1" ht="20.1" customHeight="1" spans="1:13">
      <c r="A1546" s="4" t="str">
        <f>"37502022022609341318733"</f>
        <v>37502022022609341318733</v>
      </c>
      <c r="B1546" s="4" t="s">
        <v>1505</v>
      </c>
      <c r="C1546" s="4" t="s">
        <v>1513</v>
      </c>
      <c r="D1546" s="4" t="str">
        <f>"20220335221"</f>
        <v>20220335221</v>
      </c>
      <c r="E1546" s="4" t="str">
        <f t="shared" si="306"/>
        <v>52</v>
      </c>
      <c r="F1546" s="4" t="str">
        <f>"21"</f>
        <v>21</v>
      </c>
      <c r="G1546" s="5">
        <v>76.97</v>
      </c>
      <c r="H1546" s="5" t="s">
        <v>14</v>
      </c>
      <c r="I1546" s="5">
        <v>72.1</v>
      </c>
      <c r="J1546" s="5" t="s">
        <v>14</v>
      </c>
      <c r="K1546" s="7">
        <v>73.56</v>
      </c>
      <c r="L1546" s="8">
        <v>8</v>
      </c>
      <c r="M1546" s="9"/>
    </row>
    <row r="1547" s="1" customFormat="1" ht="20.1" customHeight="1" spans="1:13">
      <c r="A1547" s="4" t="str">
        <f>"37502022030220565125966"</f>
        <v>37502022030220565125966</v>
      </c>
      <c r="B1547" s="4" t="s">
        <v>1505</v>
      </c>
      <c r="C1547" s="4" t="s">
        <v>1514</v>
      </c>
      <c r="D1547" s="4" t="str">
        <f>"20220335210"</f>
        <v>20220335210</v>
      </c>
      <c r="E1547" s="4" t="str">
        <f t="shared" si="306"/>
        <v>52</v>
      </c>
      <c r="F1547" s="4" t="str">
        <f>"10"</f>
        <v>10</v>
      </c>
      <c r="G1547" s="5">
        <v>74.52</v>
      </c>
      <c r="H1547" s="5" t="s">
        <v>14</v>
      </c>
      <c r="I1547" s="5">
        <v>73.1</v>
      </c>
      <c r="J1547" s="5" t="s">
        <v>14</v>
      </c>
      <c r="K1547" s="7">
        <v>73.53</v>
      </c>
      <c r="L1547" s="8">
        <v>9</v>
      </c>
      <c r="M1547" s="9"/>
    </row>
    <row r="1548" s="1" customFormat="1" ht="20.1" customHeight="1" spans="1:13">
      <c r="A1548" s="4" t="str">
        <f>"37502022022614375919252"</f>
        <v>37502022022614375919252</v>
      </c>
      <c r="B1548" s="4" t="s">
        <v>1505</v>
      </c>
      <c r="C1548" s="4" t="s">
        <v>1515</v>
      </c>
      <c r="D1548" s="4" t="str">
        <f>"20220335218"</f>
        <v>20220335218</v>
      </c>
      <c r="E1548" s="4" t="str">
        <f t="shared" si="306"/>
        <v>52</v>
      </c>
      <c r="F1548" s="4" t="str">
        <f>"18"</f>
        <v>18</v>
      </c>
      <c r="G1548" s="5">
        <v>74.61</v>
      </c>
      <c r="H1548" s="5" t="s">
        <v>14</v>
      </c>
      <c r="I1548" s="5">
        <v>70.9</v>
      </c>
      <c r="J1548" s="5" t="s">
        <v>14</v>
      </c>
      <c r="K1548" s="7">
        <v>72.01</v>
      </c>
      <c r="L1548" s="8">
        <v>10</v>
      </c>
      <c r="M1548" s="9"/>
    </row>
    <row r="1549" s="1" customFormat="1" ht="20.1" customHeight="1" spans="1:13">
      <c r="A1549" s="4" t="str">
        <f>"37502022022713401220182"</f>
        <v>37502022022713401220182</v>
      </c>
      <c r="B1549" s="4" t="s">
        <v>1505</v>
      </c>
      <c r="C1549" s="4" t="s">
        <v>1516</v>
      </c>
      <c r="D1549" s="4" t="str">
        <f>"20220335223"</f>
        <v>20220335223</v>
      </c>
      <c r="E1549" s="4" t="str">
        <f t="shared" si="306"/>
        <v>52</v>
      </c>
      <c r="F1549" s="4" t="str">
        <f>"23"</f>
        <v>23</v>
      </c>
      <c r="G1549" s="5">
        <v>74.46</v>
      </c>
      <c r="H1549" s="5" t="s">
        <v>14</v>
      </c>
      <c r="I1549" s="5">
        <v>69.4</v>
      </c>
      <c r="J1549" s="5" t="s">
        <v>14</v>
      </c>
      <c r="K1549" s="7">
        <v>70.92</v>
      </c>
      <c r="L1549" s="8">
        <v>11</v>
      </c>
      <c r="M1549" s="9"/>
    </row>
    <row r="1550" s="1" customFormat="1" ht="20.1" customHeight="1" spans="1:13">
      <c r="A1550" s="4" t="str">
        <f>"37502022022610084118834"</f>
        <v>37502022022610084118834</v>
      </c>
      <c r="B1550" s="4" t="s">
        <v>1505</v>
      </c>
      <c r="C1550" s="4" t="s">
        <v>1517</v>
      </c>
      <c r="D1550" s="4" t="str">
        <f>"20220335220"</f>
        <v>20220335220</v>
      </c>
      <c r="E1550" s="4" t="str">
        <f t="shared" si="306"/>
        <v>52</v>
      </c>
      <c r="F1550" s="4" t="str">
        <f>"20"</f>
        <v>20</v>
      </c>
      <c r="G1550" s="5">
        <v>70.94</v>
      </c>
      <c r="H1550" s="5" t="s">
        <v>14</v>
      </c>
      <c r="I1550" s="5">
        <v>67.7</v>
      </c>
      <c r="J1550" s="5" t="s">
        <v>14</v>
      </c>
      <c r="K1550" s="7">
        <v>68.67</v>
      </c>
      <c r="L1550" s="8">
        <v>12</v>
      </c>
      <c r="M1550" s="9"/>
    </row>
    <row r="1551" s="1" customFormat="1" ht="20.1" customHeight="1" spans="1:13">
      <c r="A1551" s="4" t="str">
        <f>"37502022022820464022967"</f>
        <v>37502022022820464022967</v>
      </c>
      <c r="B1551" s="4" t="s">
        <v>1505</v>
      </c>
      <c r="C1551" s="4" t="s">
        <v>1518</v>
      </c>
      <c r="D1551" s="4" t="str">
        <f>"20220335214"</f>
        <v>20220335214</v>
      </c>
      <c r="E1551" s="4" t="str">
        <f t="shared" si="306"/>
        <v>52</v>
      </c>
      <c r="F1551" s="4" t="str">
        <f>"14"</f>
        <v>14</v>
      </c>
      <c r="G1551" s="5">
        <v>62.69</v>
      </c>
      <c r="H1551" s="5" t="s">
        <v>14</v>
      </c>
      <c r="I1551" s="5">
        <v>68.1</v>
      </c>
      <c r="J1551" s="5" t="s">
        <v>14</v>
      </c>
      <c r="K1551" s="7">
        <v>66.48</v>
      </c>
      <c r="L1551" s="8">
        <v>13</v>
      </c>
      <c r="M1551" s="9"/>
    </row>
    <row r="1552" s="1" customFormat="1" ht="20.1" customHeight="1" spans="1:13">
      <c r="A1552" s="4" t="str">
        <f>"37502022030216183725527"</f>
        <v>37502022030216183725527</v>
      </c>
      <c r="B1552" s="4" t="s">
        <v>1505</v>
      </c>
      <c r="C1552" s="4" t="s">
        <v>1519</v>
      </c>
      <c r="D1552" s="4" t="str">
        <f>"20220335207"</f>
        <v>20220335207</v>
      </c>
      <c r="E1552" s="4" t="str">
        <f t="shared" si="306"/>
        <v>52</v>
      </c>
      <c r="F1552" s="4" t="str">
        <f>"07"</f>
        <v>07</v>
      </c>
      <c r="G1552" s="5">
        <v>65.82</v>
      </c>
      <c r="H1552" s="5" t="s">
        <v>14</v>
      </c>
      <c r="I1552" s="5">
        <v>65.2</v>
      </c>
      <c r="J1552" s="5" t="s">
        <v>14</v>
      </c>
      <c r="K1552" s="7">
        <v>65.39</v>
      </c>
      <c r="L1552" s="8">
        <v>14</v>
      </c>
      <c r="M1552" s="9"/>
    </row>
    <row r="1553" s="1" customFormat="1" ht="20.1" customHeight="1" spans="1:13">
      <c r="A1553" s="4" t="str">
        <f>"37502022030110265523393"</f>
        <v>37502022030110265523393</v>
      </c>
      <c r="B1553" s="4" t="s">
        <v>1505</v>
      </c>
      <c r="C1553" s="4" t="s">
        <v>1520</v>
      </c>
      <c r="D1553" s="4" t="str">
        <f>"20220335217"</f>
        <v>20220335217</v>
      </c>
      <c r="E1553" s="4" t="str">
        <f t="shared" si="306"/>
        <v>52</v>
      </c>
      <c r="F1553" s="4" t="str">
        <f>"17"</f>
        <v>17</v>
      </c>
      <c r="G1553" s="5">
        <v>61.39</v>
      </c>
      <c r="H1553" s="5" t="s">
        <v>14</v>
      </c>
      <c r="I1553" s="5">
        <v>63.8</v>
      </c>
      <c r="J1553" s="5" t="s">
        <v>14</v>
      </c>
      <c r="K1553" s="7">
        <v>63.08</v>
      </c>
      <c r="L1553" s="8">
        <v>15</v>
      </c>
      <c r="M1553" s="9"/>
    </row>
    <row r="1554" s="1" customFormat="1" ht="20.1" customHeight="1" spans="1:13">
      <c r="A1554" s="4" t="str">
        <f>"37502022022616564819417"</f>
        <v>37502022022616564819417</v>
      </c>
      <c r="B1554" s="4" t="s">
        <v>1505</v>
      </c>
      <c r="C1554" s="4" t="s">
        <v>1521</v>
      </c>
      <c r="D1554" s="4" t="str">
        <f>"20220335222"</f>
        <v>20220335222</v>
      </c>
      <c r="E1554" s="4" t="str">
        <f t="shared" si="306"/>
        <v>52</v>
      </c>
      <c r="F1554" s="4" t="str">
        <f>"22"</f>
        <v>22</v>
      </c>
      <c r="G1554" s="5">
        <v>0</v>
      </c>
      <c r="H1554" s="5" t="s">
        <v>74</v>
      </c>
      <c r="I1554" s="5">
        <v>0</v>
      </c>
      <c r="J1554" s="5" t="s">
        <v>74</v>
      </c>
      <c r="K1554" s="7">
        <v>0</v>
      </c>
      <c r="L1554" s="8">
        <v>16</v>
      </c>
      <c r="M1554" s="9"/>
    </row>
    <row r="1555" s="1" customFormat="1" ht="20.1" customHeight="1" spans="1:13">
      <c r="A1555" s="4" t="str">
        <f>"37502022022714315320258"</f>
        <v>37502022022714315320258</v>
      </c>
      <c r="B1555" s="4" t="s">
        <v>1505</v>
      </c>
      <c r="C1555" s="4" t="s">
        <v>1522</v>
      </c>
      <c r="D1555" s="4" t="str">
        <f>"20220335211"</f>
        <v>20220335211</v>
      </c>
      <c r="E1555" s="4" t="str">
        <f t="shared" si="306"/>
        <v>52</v>
      </c>
      <c r="F1555" s="4" t="str">
        <f>"11"</f>
        <v>11</v>
      </c>
      <c r="G1555" s="5">
        <v>0</v>
      </c>
      <c r="H1555" s="5" t="s">
        <v>74</v>
      </c>
      <c r="I1555" s="5">
        <v>0</v>
      </c>
      <c r="J1555" s="5" t="s">
        <v>74</v>
      </c>
      <c r="K1555" s="7">
        <v>0</v>
      </c>
      <c r="L1555" s="8">
        <v>16</v>
      </c>
      <c r="M1555" s="9"/>
    </row>
    <row r="1556" s="1" customFormat="1" ht="20.1" customHeight="1" spans="1:13">
      <c r="A1556" s="4" t="str">
        <f>"37502022030121420424609"</f>
        <v>37502022030121420424609</v>
      </c>
      <c r="B1556" s="4" t="s">
        <v>1505</v>
      </c>
      <c r="C1556" s="4" t="s">
        <v>1523</v>
      </c>
      <c r="D1556" s="4" t="str">
        <f>"20220335224"</f>
        <v>20220335224</v>
      </c>
      <c r="E1556" s="4" t="str">
        <f t="shared" si="306"/>
        <v>52</v>
      </c>
      <c r="F1556" s="4" t="str">
        <f>"24"</f>
        <v>24</v>
      </c>
      <c r="G1556" s="5">
        <v>0</v>
      </c>
      <c r="H1556" s="5" t="s">
        <v>74</v>
      </c>
      <c r="I1556" s="5">
        <v>0</v>
      </c>
      <c r="J1556" s="5" t="s">
        <v>74</v>
      </c>
      <c r="K1556" s="7">
        <v>0</v>
      </c>
      <c r="L1556" s="8">
        <v>16</v>
      </c>
      <c r="M1556" s="9"/>
    </row>
    <row r="1557" s="1" customFormat="1" ht="20.1" customHeight="1" spans="1:13">
      <c r="A1557" s="4" t="str">
        <f>"37502022030110583723471"</f>
        <v>37502022030110583723471</v>
      </c>
      <c r="B1557" s="4" t="s">
        <v>1524</v>
      </c>
      <c r="C1557" s="4" t="s">
        <v>1525</v>
      </c>
      <c r="D1557" s="4" t="str">
        <f>"20220345301"</f>
        <v>20220345301</v>
      </c>
      <c r="E1557" s="4" t="str">
        <f t="shared" ref="E1557:E1560" si="307">"53"</f>
        <v>53</v>
      </c>
      <c r="F1557" s="4" t="str">
        <f>"01"</f>
        <v>01</v>
      </c>
      <c r="G1557" s="5">
        <v>74.97</v>
      </c>
      <c r="H1557" s="5" t="s">
        <v>14</v>
      </c>
      <c r="I1557" s="5">
        <v>80.4</v>
      </c>
      <c r="J1557" s="5" t="s">
        <v>14</v>
      </c>
      <c r="K1557" s="7">
        <v>78.77</v>
      </c>
      <c r="L1557" s="8">
        <v>1</v>
      </c>
      <c r="M1557" s="9"/>
    </row>
    <row r="1558" s="1" customFormat="1" ht="20.1" customHeight="1" spans="1:13">
      <c r="A1558" s="4" t="str">
        <f>"37502022030115082623883"</f>
        <v>37502022030115082623883</v>
      </c>
      <c r="B1558" s="4" t="s">
        <v>1524</v>
      </c>
      <c r="C1558" s="4" t="s">
        <v>1526</v>
      </c>
      <c r="D1558" s="4" t="str">
        <f>"20220345226"</f>
        <v>20220345226</v>
      </c>
      <c r="E1558" s="4" t="str">
        <f t="shared" ref="E1558:E1562" si="308">"52"</f>
        <v>52</v>
      </c>
      <c r="F1558" s="4" t="str">
        <f>"26"</f>
        <v>26</v>
      </c>
      <c r="G1558" s="5">
        <v>72.73</v>
      </c>
      <c r="H1558" s="5" t="s">
        <v>14</v>
      </c>
      <c r="I1558" s="5">
        <v>80.2</v>
      </c>
      <c r="J1558" s="5" t="s">
        <v>14</v>
      </c>
      <c r="K1558" s="7">
        <v>77.96</v>
      </c>
      <c r="L1558" s="8">
        <v>2</v>
      </c>
      <c r="M1558" s="9"/>
    </row>
    <row r="1559" s="1" customFormat="1" ht="20.1" customHeight="1" spans="1:13">
      <c r="A1559" s="4" t="str">
        <f>"37502022022819304422894"</f>
        <v>37502022022819304422894</v>
      </c>
      <c r="B1559" s="4" t="s">
        <v>1524</v>
      </c>
      <c r="C1559" s="4" t="s">
        <v>1527</v>
      </c>
      <c r="D1559" s="4" t="str">
        <f>"20220345313"</f>
        <v>20220345313</v>
      </c>
      <c r="E1559" s="4" t="str">
        <f t="shared" si="307"/>
        <v>53</v>
      </c>
      <c r="F1559" s="4" t="str">
        <f>"13"</f>
        <v>13</v>
      </c>
      <c r="G1559" s="5">
        <v>71.16</v>
      </c>
      <c r="H1559" s="5" t="s">
        <v>14</v>
      </c>
      <c r="I1559" s="5">
        <v>77.7</v>
      </c>
      <c r="J1559" s="5" t="s">
        <v>14</v>
      </c>
      <c r="K1559" s="7">
        <v>75.74</v>
      </c>
      <c r="L1559" s="8">
        <v>3</v>
      </c>
      <c r="M1559" s="9"/>
    </row>
    <row r="1560" s="1" customFormat="1" ht="20.1" customHeight="1" spans="1:13">
      <c r="A1560" s="4" t="str">
        <f>"37502022030116500324066"</f>
        <v>37502022030116500324066</v>
      </c>
      <c r="B1560" s="4" t="s">
        <v>1524</v>
      </c>
      <c r="C1560" s="4" t="s">
        <v>1528</v>
      </c>
      <c r="D1560" s="4" t="str">
        <f>"20220345312"</f>
        <v>20220345312</v>
      </c>
      <c r="E1560" s="4" t="str">
        <f t="shared" si="307"/>
        <v>53</v>
      </c>
      <c r="F1560" s="4" t="str">
        <f>"12"</f>
        <v>12</v>
      </c>
      <c r="G1560" s="5">
        <v>71.44</v>
      </c>
      <c r="H1560" s="5" t="s">
        <v>14</v>
      </c>
      <c r="I1560" s="5">
        <v>76</v>
      </c>
      <c r="J1560" s="5" t="s">
        <v>14</v>
      </c>
      <c r="K1560" s="7">
        <v>74.63</v>
      </c>
      <c r="L1560" s="8">
        <v>4</v>
      </c>
      <c r="M1560" s="9"/>
    </row>
    <row r="1561" s="1" customFormat="1" ht="20.1" customHeight="1" spans="1:13">
      <c r="A1561" s="4" t="str">
        <f>"37502022022812143021895"</f>
        <v>37502022022812143021895</v>
      </c>
      <c r="B1561" s="4" t="s">
        <v>1524</v>
      </c>
      <c r="C1561" s="4" t="s">
        <v>1529</v>
      </c>
      <c r="D1561" s="4" t="str">
        <f>"20220345230"</f>
        <v>20220345230</v>
      </c>
      <c r="E1561" s="4" t="str">
        <f t="shared" si="308"/>
        <v>52</v>
      </c>
      <c r="F1561" s="4" t="str">
        <f>"30"</f>
        <v>30</v>
      </c>
      <c r="G1561" s="5">
        <v>71.75</v>
      </c>
      <c r="H1561" s="5" t="s">
        <v>14</v>
      </c>
      <c r="I1561" s="5">
        <v>74</v>
      </c>
      <c r="J1561" s="5" t="s">
        <v>14</v>
      </c>
      <c r="K1561" s="7">
        <v>73.33</v>
      </c>
      <c r="L1561" s="8">
        <v>5</v>
      </c>
      <c r="M1561" s="9"/>
    </row>
    <row r="1562" s="1" customFormat="1" ht="20.1" customHeight="1" spans="1:13">
      <c r="A1562" s="4" t="str">
        <f>"37502022022609323318728"</f>
        <v>37502022022609323318728</v>
      </c>
      <c r="B1562" s="4" t="s">
        <v>1524</v>
      </c>
      <c r="C1562" s="4" t="s">
        <v>1530</v>
      </c>
      <c r="D1562" s="4" t="str">
        <f>"20220345229"</f>
        <v>20220345229</v>
      </c>
      <c r="E1562" s="4" t="str">
        <f t="shared" si="308"/>
        <v>52</v>
      </c>
      <c r="F1562" s="4" t="str">
        <f>"29"</f>
        <v>29</v>
      </c>
      <c r="G1562" s="5">
        <v>74.48</v>
      </c>
      <c r="H1562" s="5" t="s">
        <v>14</v>
      </c>
      <c r="I1562" s="5">
        <v>72.2</v>
      </c>
      <c r="J1562" s="5" t="s">
        <v>14</v>
      </c>
      <c r="K1562" s="7">
        <v>72.88</v>
      </c>
      <c r="L1562" s="8">
        <v>6</v>
      </c>
      <c r="M1562" s="9"/>
    </row>
    <row r="1563" s="1" customFormat="1" ht="20.1" customHeight="1" spans="1:13">
      <c r="A1563" s="4" t="str">
        <f>"37502022030111420723564"</f>
        <v>37502022030111420723564</v>
      </c>
      <c r="B1563" s="4" t="s">
        <v>1524</v>
      </c>
      <c r="C1563" s="4" t="s">
        <v>1531</v>
      </c>
      <c r="D1563" s="4" t="str">
        <f>"20220345314"</f>
        <v>20220345314</v>
      </c>
      <c r="E1563" s="4" t="str">
        <f t="shared" ref="E1563:E1566" si="309">"53"</f>
        <v>53</v>
      </c>
      <c r="F1563" s="4" t="str">
        <f>"14"</f>
        <v>14</v>
      </c>
      <c r="G1563" s="5">
        <v>70.24</v>
      </c>
      <c r="H1563" s="5" t="s">
        <v>14</v>
      </c>
      <c r="I1563" s="5">
        <v>71</v>
      </c>
      <c r="J1563" s="5" t="s">
        <v>14</v>
      </c>
      <c r="K1563" s="7">
        <v>70.77</v>
      </c>
      <c r="L1563" s="8">
        <v>7</v>
      </c>
      <c r="M1563" s="9"/>
    </row>
    <row r="1564" s="1" customFormat="1" ht="20.1" customHeight="1" spans="1:13">
      <c r="A1564" s="4" t="str">
        <f>"37502022022613114719146"</f>
        <v>37502022022613114719146</v>
      </c>
      <c r="B1564" s="4" t="s">
        <v>1524</v>
      </c>
      <c r="C1564" s="4" t="s">
        <v>1532</v>
      </c>
      <c r="D1564" s="4" t="str">
        <f>"20220345310"</f>
        <v>20220345310</v>
      </c>
      <c r="E1564" s="4" t="str">
        <f t="shared" si="309"/>
        <v>53</v>
      </c>
      <c r="F1564" s="4" t="str">
        <f>"10"</f>
        <v>10</v>
      </c>
      <c r="G1564" s="5">
        <v>70.26</v>
      </c>
      <c r="H1564" s="5" t="s">
        <v>14</v>
      </c>
      <c r="I1564" s="5">
        <v>68.9</v>
      </c>
      <c r="J1564" s="5" t="s">
        <v>14</v>
      </c>
      <c r="K1564" s="7">
        <v>69.31</v>
      </c>
      <c r="L1564" s="8">
        <v>8</v>
      </c>
      <c r="M1564" s="9"/>
    </row>
    <row r="1565" s="1" customFormat="1" ht="20.1" customHeight="1" spans="1:13">
      <c r="A1565" s="4" t="str">
        <f>"37502022022608103018624"</f>
        <v>37502022022608103018624</v>
      </c>
      <c r="B1565" s="4" t="s">
        <v>1524</v>
      </c>
      <c r="C1565" s="4" t="s">
        <v>1533</v>
      </c>
      <c r="D1565" s="4" t="str">
        <f>"20220345306"</f>
        <v>20220345306</v>
      </c>
      <c r="E1565" s="4" t="str">
        <f t="shared" si="309"/>
        <v>53</v>
      </c>
      <c r="F1565" s="4" t="str">
        <f>"06"</f>
        <v>06</v>
      </c>
      <c r="G1565" s="5">
        <v>68.68</v>
      </c>
      <c r="H1565" s="5" t="s">
        <v>14</v>
      </c>
      <c r="I1565" s="5">
        <v>68.8</v>
      </c>
      <c r="J1565" s="5" t="s">
        <v>14</v>
      </c>
      <c r="K1565" s="7">
        <v>68.76</v>
      </c>
      <c r="L1565" s="8">
        <v>9</v>
      </c>
      <c r="M1565" s="9"/>
    </row>
    <row r="1566" s="1" customFormat="1" ht="20.1" customHeight="1" spans="1:13">
      <c r="A1566" s="4" t="str">
        <f>"37502022030110292423401"</f>
        <v>37502022030110292423401</v>
      </c>
      <c r="B1566" s="4" t="s">
        <v>1524</v>
      </c>
      <c r="C1566" s="4" t="s">
        <v>1534</v>
      </c>
      <c r="D1566" s="4" t="str">
        <f>"20220345311"</f>
        <v>20220345311</v>
      </c>
      <c r="E1566" s="4" t="str">
        <f t="shared" si="309"/>
        <v>53</v>
      </c>
      <c r="F1566" s="4" t="str">
        <f>"11"</f>
        <v>11</v>
      </c>
      <c r="G1566" s="5">
        <v>66.76</v>
      </c>
      <c r="H1566" s="5" t="s">
        <v>14</v>
      </c>
      <c r="I1566" s="5">
        <v>69.6</v>
      </c>
      <c r="J1566" s="5" t="s">
        <v>14</v>
      </c>
      <c r="K1566" s="7">
        <v>68.75</v>
      </c>
      <c r="L1566" s="8">
        <v>10</v>
      </c>
      <c r="M1566" s="9"/>
    </row>
    <row r="1567" s="1" customFormat="1" ht="20.1" customHeight="1" spans="1:13">
      <c r="A1567" s="4" t="str">
        <f>"37502022022810184621590"</f>
        <v>37502022022810184621590</v>
      </c>
      <c r="B1567" s="4" t="s">
        <v>1524</v>
      </c>
      <c r="C1567" s="4" t="s">
        <v>1535</v>
      </c>
      <c r="D1567" s="4" t="str">
        <f>"20220345228"</f>
        <v>20220345228</v>
      </c>
      <c r="E1567" s="4" t="str">
        <f>"52"</f>
        <v>52</v>
      </c>
      <c r="F1567" s="4" t="str">
        <f>"28"</f>
        <v>28</v>
      </c>
      <c r="G1567" s="5">
        <v>70.29</v>
      </c>
      <c r="H1567" s="5" t="s">
        <v>14</v>
      </c>
      <c r="I1567" s="5">
        <v>67.9</v>
      </c>
      <c r="J1567" s="5" t="s">
        <v>14</v>
      </c>
      <c r="K1567" s="7">
        <v>68.62</v>
      </c>
      <c r="L1567" s="8">
        <v>11</v>
      </c>
      <c r="M1567" s="9"/>
    </row>
    <row r="1568" s="1" customFormat="1" ht="20.1" customHeight="1" spans="1:13">
      <c r="A1568" s="4" t="str">
        <f>"37502022022712441420115"</f>
        <v>37502022022712441420115</v>
      </c>
      <c r="B1568" s="4" t="s">
        <v>1524</v>
      </c>
      <c r="C1568" s="4" t="s">
        <v>1536</v>
      </c>
      <c r="D1568" s="4" t="str">
        <f>"20220345304"</f>
        <v>20220345304</v>
      </c>
      <c r="E1568" s="4" t="str">
        <f t="shared" ref="E1568:E1572" si="310">"53"</f>
        <v>53</v>
      </c>
      <c r="F1568" s="4" t="str">
        <f>"04"</f>
        <v>04</v>
      </c>
      <c r="G1568" s="5">
        <v>63.95</v>
      </c>
      <c r="H1568" s="5" t="s">
        <v>14</v>
      </c>
      <c r="I1568" s="5">
        <v>63.4</v>
      </c>
      <c r="J1568" s="5" t="s">
        <v>14</v>
      </c>
      <c r="K1568" s="7">
        <v>63.57</v>
      </c>
      <c r="L1568" s="8">
        <v>12</v>
      </c>
      <c r="M1568" s="9"/>
    </row>
    <row r="1569" s="1" customFormat="1" ht="20.1" customHeight="1" spans="1:13">
      <c r="A1569" s="4" t="str">
        <f>"37502022030112274123634"</f>
        <v>37502022030112274123634</v>
      </c>
      <c r="B1569" s="4" t="s">
        <v>1524</v>
      </c>
      <c r="C1569" s="4" t="s">
        <v>1247</v>
      </c>
      <c r="D1569" s="4" t="str">
        <f>"20220345225"</f>
        <v>20220345225</v>
      </c>
      <c r="E1569" s="4" t="str">
        <f>"52"</f>
        <v>52</v>
      </c>
      <c r="F1569" s="4" t="str">
        <f>"25"</f>
        <v>25</v>
      </c>
      <c r="G1569" s="5">
        <v>61</v>
      </c>
      <c r="H1569" s="5" t="s">
        <v>14</v>
      </c>
      <c r="I1569" s="5">
        <v>62.8</v>
      </c>
      <c r="J1569" s="5" t="s">
        <v>14</v>
      </c>
      <c r="K1569" s="7">
        <v>62.26</v>
      </c>
      <c r="L1569" s="8">
        <v>13</v>
      </c>
      <c r="M1569" s="9"/>
    </row>
    <row r="1570" s="1" customFormat="1" ht="20.1" customHeight="1" spans="1:13">
      <c r="A1570" s="4" t="str">
        <f>"37502022030110582523469"</f>
        <v>37502022030110582523469</v>
      </c>
      <c r="B1570" s="4" t="s">
        <v>1524</v>
      </c>
      <c r="C1570" s="4" t="s">
        <v>1537</v>
      </c>
      <c r="D1570" s="4" t="str">
        <f>"20220345308"</f>
        <v>20220345308</v>
      </c>
      <c r="E1570" s="4" t="str">
        <f t="shared" si="310"/>
        <v>53</v>
      </c>
      <c r="F1570" s="4" t="str">
        <f>"08"</f>
        <v>08</v>
      </c>
      <c r="G1570" s="5">
        <v>63.65</v>
      </c>
      <c r="H1570" s="5" t="s">
        <v>14</v>
      </c>
      <c r="I1570" s="5">
        <v>59.4</v>
      </c>
      <c r="J1570" s="5" t="s">
        <v>14</v>
      </c>
      <c r="K1570" s="7">
        <v>60.68</v>
      </c>
      <c r="L1570" s="8">
        <v>14</v>
      </c>
      <c r="M1570" s="9"/>
    </row>
    <row r="1571" s="1" customFormat="1" ht="20.1" customHeight="1" spans="1:13">
      <c r="A1571" s="4" t="str">
        <f>"37502022030119595624411"</f>
        <v>37502022030119595624411</v>
      </c>
      <c r="B1571" s="4" t="s">
        <v>1524</v>
      </c>
      <c r="C1571" s="4" t="s">
        <v>1538</v>
      </c>
      <c r="D1571" s="4" t="str">
        <f>"20220345315"</f>
        <v>20220345315</v>
      </c>
      <c r="E1571" s="4" t="str">
        <f t="shared" si="310"/>
        <v>53</v>
      </c>
      <c r="F1571" s="4" t="str">
        <f>"15"</f>
        <v>15</v>
      </c>
      <c r="G1571" s="5">
        <v>51.3</v>
      </c>
      <c r="H1571" s="5" t="s">
        <v>14</v>
      </c>
      <c r="I1571" s="5">
        <v>64.7</v>
      </c>
      <c r="J1571" s="5" t="s">
        <v>14</v>
      </c>
      <c r="K1571" s="7">
        <v>60.68</v>
      </c>
      <c r="L1571" s="8">
        <v>14</v>
      </c>
      <c r="M1571" s="9"/>
    </row>
    <row r="1572" s="1" customFormat="1" ht="20.1" customHeight="1" spans="1:13">
      <c r="A1572" s="4" t="str">
        <f>"37502022022617560619474"</f>
        <v>37502022022617560619474</v>
      </c>
      <c r="B1572" s="4" t="s">
        <v>1524</v>
      </c>
      <c r="C1572" s="4" t="s">
        <v>1539</v>
      </c>
      <c r="D1572" s="4" t="str">
        <f>"20220345307"</f>
        <v>20220345307</v>
      </c>
      <c r="E1572" s="4" t="str">
        <f t="shared" si="310"/>
        <v>53</v>
      </c>
      <c r="F1572" s="4" t="str">
        <f>"07"</f>
        <v>07</v>
      </c>
      <c r="G1572" s="5">
        <v>0</v>
      </c>
      <c r="H1572" s="5" t="s">
        <v>74</v>
      </c>
      <c r="I1572" s="5">
        <v>0</v>
      </c>
      <c r="J1572" s="5" t="s">
        <v>74</v>
      </c>
      <c r="K1572" s="7">
        <v>0</v>
      </c>
      <c r="L1572" s="8">
        <v>16</v>
      </c>
      <c r="M1572" s="9"/>
    </row>
    <row r="1573" s="1" customFormat="1" ht="20.1" customHeight="1" spans="1:13">
      <c r="A1573" s="4" t="str">
        <f>"37502022022714302720256"</f>
        <v>37502022022714302720256</v>
      </c>
      <c r="B1573" s="4" t="s">
        <v>1524</v>
      </c>
      <c r="C1573" s="4" t="s">
        <v>1540</v>
      </c>
      <c r="D1573" s="4" t="str">
        <f>"20220345227"</f>
        <v>20220345227</v>
      </c>
      <c r="E1573" s="4" t="str">
        <f>"52"</f>
        <v>52</v>
      </c>
      <c r="F1573" s="4" t="str">
        <f>"27"</f>
        <v>27</v>
      </c>
      <c r="G1573" s="5">
        <v>0</v>
      </c>
      <c r="H1573" s="5" t="s">
        <v>74</v>
      </c>
      <c r="I1573" s="5">
        <v>0</v>
      </c>
      <c r="J1573" s="5" t="s">
        <v>74</v>
      </c>
      <c r="K1573" s="7">
        <v>0</v>
      </c>
      <c r="L1573" s="8">
        <v>16</v>
      </c>
      <c r="M1573" s="9"/>
    </row>
    <row r="1574" s="1" customFormat="1" ht="20.1" customHeight="1" spans="1:13">
      <c r="A1574" s="4" t="str">
        <f>"37502022022814402222305"</f>
        <v>37502022022814402222305</v>
      </c>
      <c r="B1574" s="4" t="s">
        <v>1524</v>
      </c>
      <c r="C1574" s="4" t="s">
        <v>1541</v>
      </c>
      <c r="D1574" s="4" t="str">
        <f>"20220345302"</f>
        <v>20220345302</v>
      </c>
      <c r="E1574" s="4" t="str">
        <f t="shared" ref="E1574:E1580" si="311">"53"</f>
        <v>53</v>
      </c>
      <c r="F1574" s="4" t="str">
        <f>"02"</f>
        <v>02</v>
      </c>
      <c r="G1574" s="5">
        <v>0</v>
      </c>
      <c r="H1574" s="5" t="s">
        <v>74</v>
      </c>
      <c r="I1574" s="5">
        <v>0</v>
      </c>
      <c r="J1574" s="5" t="s">
        <v>74</v>
      </c>
      <c r="K1574" s="7">
        <v>0</v>
      </c>
      <c r="L1574" s="8">
        <v>16</v>
      </c>
      <c r="M1574" s="9"/>
    </row>
    <row r="1575" s="1" customFormat="1" ht="20.1" customHeight="1" spans="1:13">
      <c r="A1575" s="4" t="str">
        <f>"37502022022818094722826"</f>
        <v>37502022022818094722826</v>
      </c>
      <c r="B1575" s="4" t="s">
        <v>1524</v>
      </c>
      <c r="C1575" s="4" t="s">
        <v>1542</v>
      </c>
      <c r="D1575" s="4" t="str">
        <f>"20220345316"</f>
        <v>20220345316</v>
      </c>
      <c r="E1575" s="4" t="str">
        <f t="shared" si="311"/>
        <v>53</v>
      </c>
      <c r="F1575" s="4" t="str">
        <f>"16"</f>
        <v>16</v>
      </c>
      <c r="G1575" s="5">
        <v>0</v>
      </c>
      <c r="H1575" s="5" t="s">
        <v>74</v>
      </c>
      <c r="I1575" s="5">
        <v>0</v>
      </c>
      <c r="J1575" s="5" t="s">
        <v>74</v>
      </c>
      <c r="K1575" s="7">
        <v>0</v>
      </c>
      <c r="L1575" s="8">
        <v>16</v>
      </c>
      <c r="M1575" s="9"/>
    </row>
    <row r="1576" s="1" customFormat="1" ht="20.1" customHeight="1" spans="1:13">
      <c r="A1576" s="4" t="str">
        <f>"37502022030117470424163"</f>
        <v>37502022030117470424163</v>
      </c>
      <c r="B1576" s="4" t="s">
        <v>1524</v>
      </c>
      <c r="C1576" s="4" t="s">
        <v>1543</v>
      </c>
      <c r="D1576" s="4" t="str">
        <f>"20220345305"</f>
        <v>20220345305</v>
      </c>
      <c r="E1576" s="4" t="str">
        <f t="shared" si="311"/>
        <v>53</v>
      </c>
      <c r="F1576" s="4" t="str">
        <f>"05"</f>
        <v>05</v>
      </c>
      <c r="G1576" s="5">
        <v>0</v>
      </c>
      <c r="H1576" s="5" t="s">
        <v>74</v>
      </c>
      <c r="I1576" s="5">
        <v>0</v>
      </c>
      <c r="J1576" s="5" t="s">
        <v>74</v>
      </c>
      <c r="K1576" s="7">
        <v>0</v>
      </c>
      <c r="L1576" s="8">
        <v>16</v>
      </c>
      <c r="M1576" s="9"/>
    </row>
    <row r="1577" s="1" customFormat="1" ht="20.1" customHeight="1" spans="1:13">
      <c r="A1577" s="4" t="str">
        <f>"37502022030212172625192"</f>
        <v>37502022030212172625192</v>
      </c>
      <c r="B1577" s="4" t="s">
        <v>1524</v>
      </c>
      <c r="C1577" s="4" t="s">
        <v>1544</v>
      </c>
      <c r="D1577" s="4" t="str">
        <f>"20220345309"</f>
        <v>20220345309</v>
      </c>
      <c r="E1577" s="4" t="str">
        <f t="shared" si="311"/>
        <v>53</v>
      </c>
      <c r="F1577" s="4" t="str">
        <f>"09"</f>
        <v>09</v>
      </c>
      <c r="G1577" s="5">
        <v>0</v>
      </c>
      <c r="H1577" s="5" t="s">
        <v>74</v>
      </c>
      <c r="I1577" s="5">
        <v>0</v>
      </c>
      <c r="J1577" s="5" t="s">
        <v>74</v>
      </c>
      <c r="K1577" s="7">
        <v>0</v>
      </c>
      <c r="L1577" s="8">
        <v>16</v>
      </c>
      <c r="M1577" s="9"/>
    </row>
    <row r="1578" s="1" customFormat="1" ht="20.1" customHeight="1" spans="1:13">
      <c r="A1578" s="4" t="str">
        <f>"37502022030217520425660"</f>
        <v>37502022030217520425660</v>
      </c>
      <c r="B1578" s="4" t="s">
        <v>1524</v>
      </c>
      <c r="C1578" s="4" t="s">
        <v>47</v>
      </c>
      <c r="D1578" s="4" t="str">
        <f>"20220345303"</f>
        <v>20220345303</v>
      </c>
      <c r="E1578" s="4" t="str">
        <f t="shared" si="311"/>
        <v>53</v>
      </c>
      <c r="F1578" s="4" t="str">
        <f>"03"</f>
        <v>03</v>
      </c>
      <c r="G1578" s="5">
        <v>0</v>
      </c>
      <c r="H1578" s="5" t="s">
        <v>74</v>
      </c>
      <c r="I1578" s="5">
        <v>0</v>
      </c>
      <c r="J1578" s="5" t="s">
        <v>74</v>
      </c>
      <c r="K1578" s="7">
        <v>0</v>
      </c>
      <c r="L1578" s="8">
        <v>16</v>
      </c>
      <c r="M1578" s="9"/>
    </row>
    <row r="1579" s="1" customFormat="1" ht="20.1" customHeight="1" spans="1:13">
      <c r="A1579" s="4" t="str">
        <f>"37502022030110124623353"</f>
        <v>37502022030110124623353</v>
      </c>
      <c r="B1579" s="4" t="s">
        <v>1545</v>
      </c>
      <c r="C1579" s="4" t="s">
        <v>1546</v>
      </c>
      <c r="D1579" s="4" t="str">
        <f>"20220355320"</f>
        <v>20220355320</v>
      </c>
      <c r="E1579" s="4" t="str">
        <f t="shared" si="311"/>
        <v>53</v>
      </c>
      <c r="F1579" s="4" t="str">
        <f>"20"</f>
        <v>20</v>
      </c>
      <c r="G1579" s="5">
        <v>80.09</v>
      </c>
      <c r="H1579" s="5" t="s">
        <v>14</v>
      </c>
      <c r="I1579" s="5">
        <v>80.5</v>
      </c>
      <c r="J1579" s="5" t="s">
        <v>14</v>
      </c>
      <c r="K1579" s="7">
        <v>80.38</v>
      </c>
      <c r="L1579" s="8">
        <v>1</v>
      </c>
      <c r="M1579" s="9"/>
    </row>
    <row r="1580" s="1" customFormat="1" ht="20.1" customHeight="1" spans="1:13">
      <c r="A1580" s="4" t="str">
        <f>"37502022022610081818832"</f>
        <v>37502022022610081818832</v>
      </c>
      <c r="B1580" s="4" t="s">
        <v>1545</v>
      </c>
      <c r="C1580" s="4" t="s">
        <v>1547</v>
      </c>
      <c r="D1580" s="4" t="str">
        <f>"20220355319"</f>
        <v>20220355319</v>
      </c>
      <c r="E1580" s="4" t="str">
        <f t="shared" si="311"/>
        <v>53</v>
      </c>
      <c r="F1580" s="4" t="str">
        <f>"19"</f>
        <v>19</v>
      </c>
      <c r="G1580" s="5">
        <v>78.21</v>
      </c>
      <c r="H1580" s="5" t="s">
        <v>14</v>
      </c>
      <c r="I1580" s="5">
        <v>78.8</v>
      </c>
      <c r="J1580" s="5" t="s">
        <v>14</v>
      </c>
      <c r="K1580" s="7">
        <v>78.62</v>
      </c>
      <c r="L1580" s="8">
        <v>2</v>
      </c>
      <c r="M1580" s="9"/>
    </row>
    <row r="1581" s="1" customFormat="1" ht="20.1" customHeight="1" spans="1:13">
      <c r="A1581" s="4" t="str">
        <f>"37502022022719055720632"</f>
        <v>37502022022719055720632</v>
      </c>
      <c r="B1581" s="4" t="s">
        <v>1545</v>
      </c>
      <c r="C1581" s="4" t="s">
        <v>1548</v>
      </c>
      <c r="D1581" s="4" t="str">
        <f>"20220355406"</f>
        <v>20220355406</v>
      </c>
      <c r="E1581" s="4" t="str">
        <f>"54"</f>
        <v>54</v>
      </c>
      <c r="F1581" s="4" t="str">
        <f>"06"</f>
        <v>06</v>
      </c>
      <c r="G1581" s="5">
        <v>82.15</v>
      </c>
      <c r="H1581" s="5" t="s">
        <v>14</v>
      </c>
      <c r="I1581" s="5">
        <v>72.6</v>
      </c>
      <c r="J1581" s="5" t="s">
        <v>14</v>
      </c>
      <c r="K1581" s="7">
        <v>75.47</v>
      </c>
      <c r="L1581" s="8">
        <v>3</v>
      </c>
      <c r="M1581" s="9"/>
    </row>
    <row r="1582" s="1" customFormat="1" ht="20.1" customHeight="1" spans="1:13">
      <c r="A1582" s="4" t="str">
        <f>"37502022022609250218708"</f>
        <v>37502022022609250218708</v>
      </c>
      <c r="B1582" s="4" t="s">
        <v>1545</v>
      </c>
      <c r="C1582" s="4" t="s">
        <v>1549</v>
      </c>
      <c r="D1582" s="4" t="str">
        <f>"20220355321"</f>
        <v>20220355321</v>
      </c>
      <c r="E1582" s="4" t="str">
        <f t="shared" ref="E1582:E1586" si="312">"53"</f>
        <v>53</v>
      </c>
      <c r="F1582" s="4" t="str">
        <f>"21"</f>
        <v>21</v>
      </c>
      <c r="G1582" s="5">
        <v>72.88</v>
      </c>
      <c r="H1582" s="5" t="s">
        <v>14</v>
      </c>
      <c r="I1582" s="5">
        <v>75.6</v>
      </c>
      <c r="J1582" s="5" t="s">
        <v>14</v>
      </c>
      <c r="K1582" s="7">
        <v>74.78</v>
      </c>
      <c r="L1582" s="8">
        <v>4</v>
      </c>
      <c r="M1582" s="9"/>
    </row>
    <row r="1583" s="1" customFormat="1" ht="20.1" customHeight="1" spans="1:13">
      <c r="A1583" s="4" t="str">
        <f>"37502022030211130425103"</f>
        <v>37502022030211130425103</v>
      </c>
      <c r="B1583" s="4" t="s">
        <v>1545</v>
      </c>
      <c r="C1583" s="4" t="s">
        <v>1550</v>
      </c>
      <c r="D1583" s="4" t="str">
        <f>"20220355330"</f>
        <v>20220355330</v>
      </c>
      <c r="E1583" s="4" t="str">
        <f t="shared" si="312"/>
        <v>53</v>
      </c>
      <c r="F1583" s="4" t="str">
        <f>"30"</f>
        <v>30</v>
      </c>
      <c r="G1583" s="5">
        <v>71.62</v>
      </c>
      <c r="H1583" s="5" t="s">
        <v>14</v>
      </c>
      <c r="I1583" s="5">
        <v>74.9</v>
      </c>
      <c r="J1583" s="5" t="s">
        <v>14</v>
      </c>
      <c r="K1583" s="7">
        <v>73.92</v>
      </c>
      <c r="L1583" s="8">
        <v>5</v>
      </c>
      <c r="M1583" s="9"/>
    </row>
    <row r="1584" s="1" customFormat="1" ht="20.1" customHeight="1" spans="1:13">
      <c r="A1584" s="4" t="str">
        <f>"37502022022813030822043"</f>
        <v>37502022022813030822043</v>
      </c>
      <c r="B1584" s="4" t="s">
        <v>1545</v>
      </c>
      <c r="C1584" s="4" t="s">
        <v>290</v>
      </c>
      <c r="D1584" s="4" t="str">
        <f>"20220355322"</f>
        <v>20220355322</v>
      </c>
      <c r="E1584" s="4" t="str">
        <f t="shared" si="312"/>
        <v>53</v>
      </c>
      <c r="F1584" s="4" t="str">
        <f>"22"</f>
        <v>22</v>
      </c>
      <c r="G1584" s="5">
        <v>69.98</v>
      </c>
      <c r="H1584" s="5" t="s">
        <v>14</v>
      </c>
      <c r="I1584" s="5">
        <v>75.4</v>
      </c>
      <c r="J1584" s="5" t="s">
        <v>14</v>
      </c>
      <c r="K1584" s="7">
        <v>73.77</v>
      </c>
      <c r="L1584" s="8">
        <v>6</v>
      </c>
      <c r="M1584" s="9"/>
    </row>
    <row r="1585" s="1" customFormat="1" ht="20.1" customHeight="1" spans="1:13">
      <c r="A1585" s="4" t="str">
        <f>"37502022022818044922823"</f>
        <v>37502022022818044922823</v>
      </c>
      <c r="B1585" s="4" t="s">
        <v>1545</v>
      </c>
      <c r="C1585" s="4" t="s">
        <v>1551</v>
      </c>
      <c r="D1585" s="4" t="str">
        <f>"20220355326"</f>
        <v>20220355326</v>
      </c>
      <c r="E1585" s="4" t="str">
        <f t="shared" si="312"/>
        <v>53</v>
      </c>
      <c r="F1585" s="4" t="str">
        <f>"26"</f>
        <v>26</v>
      </c>
      <c r="G1585" s="5">
        <v>77.56</v>
      </c>
      <c r="H1585" s="5" t="s">
        <v>14</v>
      </c>
      <c r="I1585" s="5">
        <v>71.5</v>
      </c>
      <c r="J1585" s="5" t="s">
        <v>14</v>
      </c>
      <c r="K1585" s="7">
        <v>73.32</v>
      </c>
      <c r="L1585" s="8">
        <v>7</v>
      </c>
      <c r="M1585" s="9"/>
    </row>
    <row r="1586" s="1" customFormat="1" ht="20.1" customHeight="1" spans="1:13">
      <c r="A1586" s="4" t="str">
        <f>"37502022030121063224546"</f>
        <v>37502022030121063224546</v>
      </c>
      <c r="B1586" s="4" t="s">
        <v>1545</v>
      </c>
      <c r="C1586" s="4" t="s">
        <v>1552</v>
      </c>
      <c r="D1586" s="4" t="str">
        <f>"20220355324"</f>
        <v>20220355324</v>
      </c>
      <c r="E1586" s="4" t="str">
        <f t="shared" si="312"/>
        <v>53</v>
      </c>
      <c r="F1586" s="4" t="str">
        <f>"24"</f>
        <v>24</v>
      </c>
      <c r="G1586" s="5">
        <v>71.31</v>
      </c>
      <c r="H1586" s="5" t="s">
        <v>14</v>
      </c>
      <c r="I1586" s="5">
        <v>73</v>
      </c>
      <c r="J1586" s="5" t="s">
        <v>14</v>
      </c>
      <c r="K1586" s="7">
        <v>72.49</v>
      </c>
      <c r="L1586" s="8">
        <v>8</v>
      </c>
      <c r="M1586" s="9"/>
    </row>
    <row r="1587" s="1" customFormat="1" ht="20.1" customHeight="1" spans="1:13">
      <c r="A1587" s="4" t="str">
        <f>"37502022030118404824252"</f>
        <v>37502022030118404824252</v>
      </c>
      <c r="B1587" s="4" t="s">
        <v>1545</v>
      </c>
      <c r="C1587" s="4" t="s">
        <v>1553</v>
      </c>
      <c r="D1587" s="4" t="str">
        <f>"20220355401"</f>
        <v>20220355401</v>
      </c>
      <c r="E1587" s="4" t="str">
        <f t="shared" ref="E1587:E1593" si="313">"54"</f>
        <v>54</v>
      </c>
      <c r="F1587" s="4" t="str">
        <f>"01"</f>
        <v>01</v>
      </c>
      <c r="G1587" s="5">
        <v>71.78</v>
      </c>
      <c r="H1587" s="5" t="s">
        <v>14</v>
      </c>
      <c r="I1587" s="5">
        <v>71.9</v>
      </c>
      <c r="J1587" s="5" t="s">
        <v>14</v>
      </c>
      <c r="K1587" s="7">
        <v>71.86</v>
      </c>
      <c r="L1587" s="8">
        <v>9</v>
      </c>
      <c r="M1587" s="9"/>
    </row>
    <row r="1588" s="1" customFormat="1" ht="20.1" customHeight="1" spans="1:13">
      <c r="A1588" s="4" t="str">
        <f>"37502022030212170925190"</f>
        <v>37502022030212170925190</v>
      </c>
      <c r="B1588" s="4" t="s">
        <v>1545</v>
      </c>
      <c r="C1588" s="4" t="s">
        <v>1554</v>
      </c>
      <c r="D1588" s="4" t="str">
        <f>"20220355327"</f>
        <v>20220355327</v>
      </c>
      <c r="E1588" s="4" t="str">
        <f t="shared" ref="E1588:E1590" si="314">"53"</f>
        <v>53</v>
      </c>
      <c r="F1588" s="4" t="str">
        <f>"27"</f>
        <v>27</v>
      </c>
      <c r="G1588" s="5">
        <v>64.2</v>
      </c>
      <c r="H1588" s="5" t="s">
        <v>14</v>
      </c>
      <c r="I1588" s="5">
        <v>74.8</v>
      </c>
      <c r="J1588" s="5" t="s">
        <v>14</v>
      </c>
      <c r="K1588" s="7">
        <v>71.62</v>
      </c>
      <c r="L1588" s="8">
        <v>10</v>
      </c>
      <c r="M1588" s="9"/>
    </row>
    <row r="1589" s="1" customFormat="1" ht="20.1" customHeight="1" spans="1:13">
      <c r="A1589" s="4" t="str">
        <f>"37502022030214282925390"</f>
        <v>37502022030214282925390</v>
      </c>
      <c r="B1589" s="4" t="s">
        <v>1545</v>
      </c>
      <c r="C1589" s="4" t="s">
        <v>1555</v>
      </c>
      <c r="D1589" s="4" t="str">
        <f>"20220355318"</f>
        <v>20220355318</v>
      </c>
      <c r="E1589" s="4" t="str">
        <f t="shared" si="314"/>
        <v>53</v>
      </c>
      <c r="F1589" s="4" t="str">
        <f>"18"</f>
        <v>18</v>
      </c>
      <c r="G1589" s="5">
        <v>68.42</v>
      </c>
      <c r="H1589" s="5" t="s">
        <v>14</v>
      </c>
      <c r="I1589" s="5">
        <v>72.9</v>
      </c>
      <c r="J1589" s="5" t="s">
        <v>14</v>
      </c>
      <c r="K1589" s="7">
        <v>71.56</v>
      </c>
      <c r="L1589" s="8">
        <v>11</v>
      </c>
      <c r="M1589" s="9"/>
    </row>
    <row r="1590" s="1" customFormat="1" ht="20.1" customHeight="1" spans="1:13">
      <c r="A1590" s="4" t="str">
        <f>"37502022022821134122996"</f>
        <v>37502022022821134122996</v>
      </c>
      <c r="B1590" s="4" t="s">
        <v>1545</v>
      </c>
      <c r="C1590" s="4" t="s">
        <v>1556</v>
      </c>
      <c r="D1590" s="4" t="str">
        <f>"20220355328"</f>
        <v>20220355328</v>
      </c>
      <c r="E1590" s="4" t="str">
        <f t="shared" si="314"/>
        <v>53</v>
      </c>
      <c r="F1590" s="4" t="str">
        <f>"28"</f>
        <v>28</v>
      </c>
      <c r="G1590" s="5">
        <v>72.33</v>
      </c>
      <c r="H1590" s="5" t="s">
        <v>14</v>
      </c>
      <c r="I1590" s="5">
        <v>67.9</v>
      </c>
      <c r="J1590" s="5" t="s">
        <v>14</v>
      </c>
      <c r="K1590" s="7">
        <v>69.23</v>
      </c>
      <c r="L1590" s="8">
        <v>12</v>
      </c>
      <c r="M1590" s="9"/>
    </row>
    <row r="1591" s="1" customFormat="1" ht="20.1" customHeight="1" spans="1:13">
      <c r="A1591" s="4" t="str">
        <f>"37502022022822341223059"</f>
        <v>37502022022822341223059</v>
      </c>
      <c r="B1591" s="4" t="s">
        <v>1545</v>
      </c>
      <c r="C1591" s="4" t="s">
        <v>1557</v>
      </c>
      <c r="D1591" s="4" t="str">
        <f>"20220355402"</f>
        <v>20220355402</v>
      </c>
      <c r="E1591" s="4" t="str">
        <f t="shared" si="313"/>
        <v>54</v>
      </c>
      <c r="F1591" s="4" t="str">
        <f>"02"</f>
        <v>02</v>
      </c>
      <c r="G1591" s="5">
        <v>69.18</v>
      </c>
      <c r="H1591" s="5" t="s">
        <v>14</v>
      </c>
      <c r="I1591" s="5">
        <v>69</v>
      </c>
      <c r="J1591" s="5" t="s">
        <v>14</v>
      </c>
      <c r="K1591" s="7">
        <v>69.05</v>
      </c>
      <c r="L1591" s="8">
        <v>13</v>
      </c>
      <c r="M1591" s="9"/>
    </row>
    <row r="1592" s="1" customFormat="1" ht="20.1" customHeight="1" spans="1:13">
      <c r="A1592" s="4" t="str">
        <f>"37502022030112042623596"</f>
        <v>37502022030112042623596</v>
      </c>
      <c r="B1592" s="4" t="s">
        <v>1545</v>
      </c>
      <c r="C1592" s="4" t="s">
        <v>1558</v>
      </c>
      <c r="D1592" s="4" t="str">
        <f>"20220355407"</f>
        <v>20220355407</v>
      </c>
      <c r="E1592" s="4" t="str">
        <f t="shared" si="313"/>
        <v>54</v>
      </c>
      <c r="F1592" s="4" t="str">
        <f>"07"</f>
        <v>07</v>
      </c>
      <c r="G1592" s="5">
        <v>67.47</v>
      </c>
      <c r="H1592" s="5" t="s">
        <v>14</v>
      </c>
      <c r="I1592" s="5">
        <v>69</v>
      </c>
      <c r="J1592" s="5" t="s">
        <v>14</v>
      </c>
      <c r="K1592" s="7">
        <v>68.54</v>
      </c>
      <c r="L1592" s="8">
        <v>14</v>
      </c>
      <c r="M1592" s="9"/>
    </row>
    <row r="1593" s="1" customFormat="1" ht="20.1" customHeight="1" spans="1:13">
      <c r="A1593" s="4" t="str">
        <f>"37502022022609095218683"</f>
        <v>37502022022609095218683</v>
      </c>
      <c r="B1593" s="4" t="s">
        <v>1545</v>
      </c>
      <c r="C1593" s="4" t="s">
        <v>1559</v>
      </c>
      <c r="D1593" s="4" t="str">
        <f>"20220355403"</f>
        <v>20220355403</v>
      </c>
      <c r="E1593" s="4" t="str">
        <f t="shared" si="313"/>
        <v>54</v>
      </c>
      <c r="F1593" s="4" t="str">
        <f>"03"</f>
        <v>03</v>
      </c>
      <c r="G1593" s="5">
        <v>65.3</v>
      </c>
      <c r="H1593" s="5" t="s">
        <v>14</v>
      </c>
      <c r="I1593" s="5">
        <v>68.8</v>
      </c>
      <c r="J1593" s="5" t="s">
        <v>14</v>
      </c>
      <c r="K1593" s="7">
        <v>67.75</v>
      </c>
      <c r="L1593" s="8">
        <v>15</v>
      </c>
      <c r="M1593" s="9"/>
    </row>
    <row r="1594" s="1" customFormat="1" ht="20.1" customHeight="1" spans="1:13">
      <c r="A1594" s="4" t="str">
        <f>"37502022022609013218671"</f>
        <v>37502022022609013218671</v>
      </c>
      <c r="B1594" s="4" t="s">
        <v>1545</v>
      </c>
      <c r="C1594" s="4" t="s">
        <v>1560</v>
      </c>
      <c r="D1594" s="4" t="str">
        <f>"20220355325"</f>
        <v>20220355325</v>
      </c>
      <c r="E1594" s="4" t="str">
        <f t="shared" ref="E1594:E1598" si="315">"53"</f>
        <v>53</v>
      </c>
      <c r="F1594" s="4" t="str">
        <f>"25"</f>
        <v>25</v>
      </c>
      <c r="G1594" s="5">
        <v>0</v>
      </c>
      <c r="H1594" s="5" t="s">
        <v>74</v>
      </c>
      <c r="I1594" s="5">
        <v>0</v>
      </c>
      <c r="J1594" s="5" t="s">
        <v>74</v>
      </c>
      <c r="K1594" s="7">
        <v>0</v>
      </c>
      <c r="L1594" s="8">
        <v>16</v>
      </c>
      <c r="M1594" s="9"/>
    </row>
    <row r="1595" s="1" customFormat="1" ht="20.1" customHeight="1" spans="1:13">
      <c r="A1595" s="4" t="str">
        <f>"37502022022617223719444"</f>
        <v>37502022022617223719444</v>
      </c>
      <c r="B1595" s="4" t="s">
        <v>1545</v>
      </c>
      <c r="C1595" s="4" t="s">
        <v>1561</v>
      </c>
      <c r="D1595" s="4" t="str">
        <f>"20220355405"</f>
        <v>20220355405</v>
      </c>
      <c r="E1595" s="4" t="str">
        <f t="shared" ref="E1595:E1599" si="316">"54"</f>
        <v>54</v>
      </c>
      <c r="F1595" s="4" t="str">
        <f>"05"</f>
        <v>05</v>
      </c>
      <c r="G1595" s="5">
        <v>0</v>
      </c>
      <c r="H1595" s="5" t="s">
        <v>74</v>
      </c>
      <c r="I1595" s="5">
        <v>0</v>
      </c>
      <c r="J1595" s="5" t="s">
        <v>74</v>
      </c>
      <c r="K1595" s="7">
        <v>0</v>
      </c>
      <c r="L1595" s="8">
        <v>16</v>
      </c>
      <c r="M1595" s="9"/>
    </row>
    <row r="1596" s="1" customFormat="1" ht="20.1" customHeight="1" spans="1:13">
      <c r="A1596" s="4" t="str">
        <f>"37502022022711523120054"</f>
        <v>37502022022711523120054</v>
      </c>
      <c r="B1596" s="4" t="s">
        <v>1545</v>
      </c>
      <c r="C1596" s="4" t="s">
        <v>1562</v>
      </c>
      <c r="D1596" s="4" t="str">
        <f>"20220355329"</f>
        <v>20220355329</v>
      </c>
      <c r="E1596" s="4" t="str">
        <f t="shared" si="315"/>
        <v>53</v>
      </c>
      <c r="F1596" s="4" t="str">
        <f>"29"</f>
        <v>29</v>
      </c>
      <c r="G1596" s="5">
        <v>0</v>
      </c>
      <c r="H1596" s="5" t="s">
        <v>74</v>
      </c>
      <c r="I1596" s="5">
        <v>0</v>
      </c>
      <c r="J1596" s="5" t="s">
        <v>74</v>
      </c>
      <c r="K1596" s="7">
        <v>0</v>
      </c>
      <c r="L1596" s="8">
        <v>16</v>
      </c>
      <c r="M1596" s="9"/>
    </row>
    <row r="1597" s="1" customFormat="1" ht="20.1" customHeight="1" spans="1:13">
      <c r="A1597" s="4" t="str">
        <f>"37502022022720122420762"</f>
        <v>37502022022720122420762</v>
      </c>
      <c r="B1597" s="4" t="s">
        <v>1545</v>
      </c>
      <c r="C1597" s="4" t="s">
        <v>1563</v>
      </c>
      <c r="D1597" s="4" t="str">
        <f>"20220355404"</f>
        <v>20220355404</v>
      </c>
      <c r="E1597" s="4" t="str">
        <f t="shared" si="316"/>
        <v>54</v>
      </c>
      <c r="F1597" s="4" t="str">
        <f>"04"</f>
        <v>04</v>
      </c>
      <c r="G1597" s="5">
        <v>0</v>
      </c>
      <c r="H1597" s="5" t="s">
        <v>74</v>
      </c>
      <c r="I1597" s="5">
        <v>0</v>
      </c>
      <c r="J1597" s="5" t="s">
        <v>74</v>
      </c>
      <c r="K1597" s="7">
        <v>0</v>
      </c>
      <c r="L1597" s="8">
        <v>16</v>
      </c>
      <c r="M1597" s="9"/>
    </row>
    <row r="1598" s="1" customFormat="1" ht="20.1" customHeight="1" spans="1:13">
      <c r="A1598" s="4" t="str">
        <f>"37502022030207582324808"</f>
        <v>37502022030207582324808</v>
      </c>
      <c r="B1598" s="4" t="s">
        <v>1545</v>
      </c>
      <c r="C1598" s="4" t="s">
        <v>1564</v>
      </c>
      <c r="D1598" s="4" t="str">
        <f>"20220355317"</f>
        <v>20220355317</v>
      </c>
      <c r="E1598" s="4" t="str">
        <f t="shared" si="315"/>
        <v>53</v>
      </c>
      <c r="F1598" s="4" t="str">
        <f>"17"</f>
        <v>17</v>
      </c>
      <c r="G1598" s="5">
        <v>0</v>
      </c>
      <c r="H1598" s="5" t="s">
        <v>74</v>
      </c>
      <c r="I1598" s="5">
        <v>0</v>
      </c>
      <c r="J1598" s="5" t="s">
        <v>74</v>
      </c>
      <c r="K1598" s="7">
        <v>0</v>
      </c>
      <c r="L1598" s="8">
        <v>16</v>
      </c>
      <c r="M1598" s="9"/>
    </row>
    <row r="1599" s="1" customFormat="1" ht="20.1" customHeight="1" spans="1:13">
      <c r="A1599" s="4" t="str">
        <f>"37502022030210140024999"</f>
        <v>37502022030210140024999</v>
      </c>
      <c r="B1599" s="4" t="s">
        <v>1545</v>
      </c>
      <c r="C1599" s="4" t="s">
        <v>1565</v>
      </c>
      <c r="D1599" s="4" t="str">
        <f>"20220355408"</f>
        <v>20220355408</v>
      </c>
      <c r="E1599" s="4" t="str">
        <f t="shared" si="316"/>
        <v>54</v>
      </c>
      <c r="F1599" s="4" t="str">
        <f>"08"</f>
        <v>08</v>
      </c>
      <c r="G1599" s="5">
        <v>0</v>
      </c>
      <c r="H1599" s="5" t="s">
        <v>74</v>
      </c>
      <c r="I1599" s="5">
        <v>0</v>
      </c>
      <c r="J1599" s="5" t="s">
        <v>74</v>
      </c>
      <c r="K1599" s="7">
        <v>0</v>
      </c>
      <c r="L1599" s="8">
        <v>16</v>
      </c>
      <c r="M1599" s="9"/>
    </row>
    <row r="1600" s="1" customFormat="1" ht="20.1" customHeight="1" spans="1:13">
      <c r="A1600" s="4" t="str">
        <f>"37502022030210192725008"</f>
        <v>37502022030210192725008</v>
      </c>
      <c r="B1600" s="4" t="s">
        <v>1545</v>
      </c>
      <c r="C1600" s="4" t="s">
        <v>1566</v>
      </c>
      <c r="D1600" s="4" t="str">
        <f>"20220355323"</f>
        <v>20220355323</v>
      </c>
      <c r="E1600" s="4" t="str">
        <f>"53"</f>
        <v>53</v>
      </c>
      <c r="F1600" s="4" t="str">
        <f>"23"</f>
        <v>23</v>
      </c>
      <c r="G1600" s="5">
        <v>0</v>
      </c>
      <c r="H1600" s="5" t="s">
        <v>74</v>
      </c>
      <c r="I1600" s="5">
        <v>0</v>
      </c>
      <c r="J1600" s="5" t="s">
        <v>74</v>
      </c>
      <c r="K1600" s="7">
        <v>0</v>
      </c>
      <c r="L1600" s="8">
        <v>16</v>
      </c>
      <c r="M1600" s="9"/>
    </row>
    <row r="1601" s="1" customFormat="1" ht="20.1" customHeight="1" spans="1:13">
      <c r="A1601" s="4" t="str">
        <f>"37502022030111242423531"</f>
        <v>37502022030111242423531</v>
      </c>
      <c r="B1601" s="4" t="s">
        <v>1567</v>
      </c>
      <c r="C1601" s="4" t="s">
        <v>1568</v>
      </c>
      <c r="D1601" s="4" t="str">
        <f>"20220365411"</f>
        <v>20220365411</v>
      </c>
      <c r="E1601" s="4" t="str">
        <f t="shared" ref="E1601:E1604" si="317">"54"</f>
        <v>54</v>
      </c>
      <c r="F1601" s="4" t="str">
        <f>"11"</f>
        <v>11</v>
      </c>
      <c r="G1601" s="5">
        <v>74.26</v>
      </c>
      <c r="H1601" s="5" t="s">
        <v>14</v>
      </c>
      <c r="I1601" s="5">
        <v>79</v>
      </c>
      <c r="J1601" s="5" t="s">
        <v>14</v>
      </c>
      <c r="K1601" s="7">
        <v>77.58</v>
      </c>
      <c r="L1601" s="8">
        <v>1</v>
      </c>
      <c r="M1601" s="9"/>
    </row>
    <row r="1602" s="1" customFormat="1" ht="20.1" customHeight="1" spans="1:13">
      <c r="A1602" s="4" t="str">
        <f>"37502022030221532926060"</f>
        <v>37502022030221532926060</v>
      </c>
      <c r="B1602" s="4" t="s">
        <v>1567</v>
      </c>
      <c r="C1602" s="4" t="s">
        <v>1569</v>
      </c>
      <c r="D1602" s="4" t="str">
        <f>"20220365412"</f>
        <v>20220365412</v>
      </c>
      <c r="E1602" s="4" t="str">
        <f t="shared" si="317"/>
        <v>54</v>
      </c>
      <c r="F1602" s="4" t="str">
        <f>"12"</f>
        <v>12</v>
      </c>
      <c r="G1602" s="5">
        <v>82.27</v>
      </c>
      <c r="H1602" s="5" t="s">
        <v>14</v>
      </c>
      <c r="I1602" s="5">
        <v>75.1</v>
      </c>
      <c r="J1602" s="5" t="s">
        <v>14</v>
      </c>
      <c r="K1602" s="7">
        <v>77.25</v>
      </c>
      <c r="L1602" s="8">
        <v>2</v>
      </c>
      <c r="M1602" s="9"/>
    </row>
    <row r="1603" s="1" customFormat="1" ht="20.1" customHeight="1" spans="1:13">
      <c r="A1603" s="4" t="str">
        <f>"37502022022610212418903"</f>
        <v>37502022022610212418903</v>
      </c>
      <c r="B1603" s="4" t="s">
        <v>1567</v>
      </c>
      <c r="C1603" s="4" t="s">
        <v>1570</v>
      </c>
      <c r="D1603" s="4" t="str">
        <f>"20220365501"</f>
        <v>20220365501</v>
      </c>
      <c r="E1603" s="4" t="str">
        <f>"55"</f>
        <v>55</v>
      </c>
      <c r="F1603" s="4" t="str">
        <f>"01"</f>
        <v>01</v>
      </c>
      <c r="G1603" s="5">
        <v>74.43</v>
      </c>
      <c r="H1603" s="5" t="s">
        <v>14</v>
      </c>
      <c r="I1603" s="5">
        <v>78.3</v>
      </c>
      <c r="J1603" s="5" t="s">
        <v>14</v>
      </c>
      <c r="K1603" s="7">
        <v>77.14</v>
      </c>
      <c r="L1603" s="8">
        <v>3</v>
      </c>
      <c r="M1603" s="9"/>
    </row>
    <row r="1604" s="1" customFormat="1" ht="20.1" customHeight="1" spans="1:13">
      <c r="A1604" s="4" t="str">
        <f>"37502022022610445718954"</f>
        <v>37502022022610445718954</v>
      </c>
      <c r="B1604" s="4" t="s">
        <v>1567</v>
      </c>
      <c r="C1604" s="4" t="s">
        <v>1571</v>
      </c>
      <c r="D1604" s="4" t="str">
        <f>"20220365413"</f>
        <v>20220365413</v>
      </c>
      <c r="E1604" s="4" t="str">
        <f t="shared" si="317"/>
        <v>54</v>
      </c>
      <c r="F1604" s="4" t="str">
        <f>"13"</f>
        <v>13</v>
      </c>
      <c r="G1604" s="5">
        <v>75.1</v>
      </c>
      <c r="H1604" s="5" t="s">
        <v>14</v>
      </c>
      <c r="I1604" s="5">
        <v>75.6</v>
      </c>
      <c r="J1604" s="5" t="s">
        <v>14</v>
      </c>
      <c r="K1604" s="7">
        <v>75.45</v>
      </c>
      <c r="L1604" s="8">
        <v>4</v>
      </c>
      <c r="M1604" s="9"/>
    </row>
    <row r="1605" s="1" customFormat="1" ht="20.1" customHeight="1" spans="1:13">
      <c r="A1605" s="4" t="str">
        <f>"37502022030112513123677"</f>
        <v>37502022030112513123677</v>
      </c>
      <c r="B1605" s="4" t="s">
        <v>1567</v>
      </c>
      <c r="C1605" s="4" t="s">
        <v>447</v>
      </c>
      <c r="D1605" s="4" t="str">
        <f>"20220365504"</f>
        <v>20220365504</v>
      </c>
      <c r="E1605" s="4" t="str">
        <f>"55"</f>
        <v>55</v>
      </c>
      <c r="F1605" s="4" t="str">
        <f>"04"</f>
        <v>04</v>
      </c>
      <c r="G1605" s="5">
        <v>69.26</v>
      </c>
      <c r="H1605" s="5" t="s">
        <v>14</v>
      </c>
      <c r="I1605" s="5">
        <v>74.7</v>
      </c>
      <c r="J1605" s="5" t="s">
        <v>14</v>
      </c>
      <c r="K1605" s="7">
        <v>73.07</v>
      </c>
      <c r="L1605" s="8">
        <v>5</v>
      </c>
      <c r="M1605" s="9"/>
    </row>
    <row r="1606" s="1" customFormat="1" ht="20.1" customHeight="1" spans="1:13">
      <c r="A1606" s="4" t="str">
        <f>"37502022030113140923728"</f>
        <v>37502022030113140923728</v>
      </c>
      <c r="B1606" s="4" t="s">
        <v>1567</v>
      </c>
      <c r="C1606" s="4" t="s">
        <v>1572</v>
      </c>
      <c r="D1606" s="4" t="str">
        <f>"20220365422"</f>
        <v>20220365422</v>
      </c>
      <c r="E1606" s="4" t="str">
        <f t="shared" ref="E1606:E1609" si="318">"54"</f>
        <v>54</v>
      </c>
      <c r="F1606" s="4" t="str">
        <f>"22"</f>
        <v>22</v>
      </c>
      <c r="G1606" s="5">
        <v>73.14</v>
      </c>
      <c r="H1606" s="5" t="s">
        <v>14</v>
      </c>
      <c r="I1606" s="5">
        <v>73</v>
      </c>
      <c r="J1606" s="5" t="s">
        <v>14</v>
      </c>
      <c r="K1606" s="7">
        <v>73.04</v>
      </c>
      <c r="L1606" s="8">
        <v>6</v>
      </c>
      <c r="M1606" s="9"/>
    </row>
    <row r="1607" s="1" customFormat="1" ht="20.1" customHeight="1" spans="1:13">
      <c r="A1607" s="4" t="str">
        <f>"37502022030121194224567"</f>
        <v>37502022030121194224567</v>
      </c>
      <c r="B1607" s="4" t="s">
        <v>1567</v>
      </c>
      <c r="C1607" s="4" t="s">
        <v>1573</v>
      </c>
      <c r="D1607" s="4" t="str">
        <f>"20220365421"</f>
        <v>20220365421</v>
      </c>
      <c r="E1607" s="4" t="str">
        <f t="shared" si="318"/>
        <v>54</v>
      </c>
      <c r="F1607" s="4" t="str">
        <f>"21"</f>
        <v>21</v>
      </c>
      <c r="G1607" s="5">
        <v>72.29</v>
      </c>
      <c r="H1607" s="5" t="s">
        <v>14</v>
      </c>
      <c r="I1607" s="5">
        <v>72.4</v>
      </c>
      <c r="J1607" s="5" t="s">
        <v>14</v>
      </c>
      <c r="K1607" s="7">
        <v>72.37</v>
      </c>
      <c r="L1607" s="8">
        <v>7</v>
      </c>
      <c r="M1607" s="9"/>
    </row>
    <row r="1608" s="1" customFormat="1" ht="20.1" customHeight="1" spans="1:13">
      <c r="A1608" s="4" t="str">
        <f>"37502022022613173719151"</f>
        <v>37502022022613173719151</v>
      </c>
      <c r="B1608" s="4" t="s">
        <v>1567</v>
      </c>
      <c r="C1608" s="4" t="s">
        <v>1574</v>
      </c>
      <c r="D1608" s="4" t="str">
        <f>"20220365419"</f>
        <v>20220365419</v>
      </c>
      <c r="E1608" s="4" t="str">
        <f t="shared" si="318"/>
        <v>54</v>
      </c>
      <c r="F1608" s="4" t="str">
        <f>"19"</f>
        <v>19</v>
      </c>
      <c r="G1608" s="5">
        <v>65.43</v>
      </c>
      <c r="H1608" s="5" t="s">
        <v>14</v>
      </c>
      <c r="I1608" s="5">
        <v>72.9</v>
      </c>
      <c r="J1608" s="5" t="s">
        <v>14</v>
      </c>
      <c r="K1608" s="7">
        <v>70.66</v>
      </c>
      <c r="L1608" s="8">
        <v>8</v>
      </c>
      <c r="M1608" s="9"/>
    </row>
    <row r="1609" s="1" customFormat="1" ht="20.1" customHeight="1" spans="1:13">
      <c r="A1609" s="4" t="str">
        <f>"37502022022819512622919"</f>
        <v>37502022022819512622919</v>
      </c>
      <c r="B1609" s="4" t="s">
        <v>1567</v>
      </c>
      <c r="C1609" s="4" t="s">
        <v>1575</v>
      </c>
      <c r="D1609" s="4" t="str">
        <f>"20220365410"</f>
        <v>20220365410</v>
      </c>
      <c r="E1609" s="4" t="str">
        <f t="shared" si="318"/>
        <v>54</v>
      </c>
      <c r="F1609" s="4" t="str">
        <f>"10"</f>
        <v>10</v>
      </c>
      <c r="G1609" s="5">
        <v>72.37</v>
      </c>
      <c r="H1609" s="5" t="s">
        <v>14</v>
      </c>
      <c r="I1609" s="5">
        <v>69.6</v>
      </c>
      <c r="J1609" s="5" t="s">
        <v>14</v>
      </c>
      <c r="K1609" s="7">
        <v>70.43</v>
      </c>
      <c r="L1609" s="8">
        <v>9</v>
      </c>
      <c r="M1609" s="9"/>
    </row>
    <row r="1610" s="1" customFormat="1" ht="20.1" customHeight="1" spans="1:13">
      <c r="A1610" s="4" t="str">
        <f>"37502022030118364624248"</f>
        <v>37502022030118364624248</v>
      </c>
      <c r="B1610" s="4" t="s">
        <v>1567</v>
      </c>
      <c r="C1610" s="4" t="s">
        <v>1576</v>
      </c>
      <c r="D1610" s="4" t="str">
        <f>"20220365502"</f>
        <v>20220365502</v>
      </c>
      <c r="E1610" s="4" t="str">
        <f>"55"</f>
        <v>55</v>
      </c>
      <c r="F1610" s="4" t="str">
        <f>"02"</f>
        <v>02</v>
      </c>
      <c r="G1610" s="5">
        <v>65.17</v>
      </c>
      <c r="H1610" s="5" t="s">
        <v>14</v>
      </c>
      <c r="I1610" s="5">
        <v>72.2</v>
      </c>
      <c r="J1610" s="5" t="s">
        <v>14</v>
      </c>
      <c r="K1610" s="7">
        <v>70.09</v>
      </c>
      <c r="L1610" s="8">
        <v>10</v>
      </c>
      <c r="M1610" s="9"/>
    </row>
    <row r="1611" s="1" customFormat="1" ht="20.1" customHeight="1" spans="1:13">
      <c r="A1611" s="4" t="str">
        <f>"37502022022720370920828"</f>
        <v>37502022022720370920828</v>
      </c>
      <c r="B1611" s="4" t="s">
        <v>1567</v>
      </c>
      <c r="C1611" s="4" t="s">
        <v>1577</v>
      </c>
      <c r="D1611" s="4" t="str">
        <f>"20220365425"</f>
        <v>20220365425</v>
      </c>
      <c r="E1611" s="4" t="str">
        <f t="shared" ref="E1611:E1626" si="319">"54"</f>
        <v>54</v>
      </c>
      <c r="F1611" s="4" t="str">
        <f>"25"</f>
        <v>25</v>
      </c>
      <c r="G1611" s="5">
        <v>69.95</v>
      </c>
      <c r="H1611" s="5" t="s">
        <v>14</v>
      </c>
      <c r="I1611" s="5">
        <v>69.6</v>
      </c>
      <c r="J1611" s="5" t="s">
        <v>14</v>
      </c>
      <c r="K1611" s="7">
        <v>69.71</v>
      </c>
      <c r="L1611" s="8">
        <v>11</v>
      </c>
      <c r="M1611" s="9"/>
    </row>
    <row r="1612" s="1" customFormat="1" ht="20.1" customHeight="1" spans="1:13">
      <c r="A1612" s="4" t="str">
        <f>"37502022030121314824591"</f>
        <v>37502022030121314824591</v>
      </c>
      <c r="B1612" s="4" t="s">
        <v>1567</v>
      </c>
      <c r="C1612" s="4" t="s">
        <v>1578</v>
      </c>
      <c r="D1612" s="4" t="str">
        <f>"20220365416"</f>
        <v>20220365416</v>
      </c>
      <c r="E1612" s="4" t="str">
        <f t="shared" si="319"/>
        <v>54</v>
      </c>
      <c r="F1612" s="4" t="str">
        <f>"16"</f>
        <v>16</v>
      </c>
      <c r="G1612" s="5">
        <v>71.02</v>
      </c>
      <c r="H1612" s="5" t="s">
        <v>14</v>
      </c>
      <c r="I1612" s="5">
        <v>68.4</v>
      </c>
      <c r="J1612" s="5" t="s">
        <v>14</v>
      </c>
      <c r="K1612" s="7">
        <v>69.19</v>
      </c>
      <c r="L1612" s="8">
        <v>12</v>
      </c>
      <c r="M1612" s="9"/>
    </row>
    <row r="1613" s="1" customFormat="1" ht="20.1" customHeight="1" spans="1:13">
      <c r="A1613" s="4" t="str">
        <f>"37502022030108474823151"</f>
        <v>37502022030108474823151</v>
      </c>
      <c r="B1613" s="4" t="s">
        <v>1567</v>
      </c>
      <c r="C1613" s="4" t="s">
        <v>1579</v>
      </c>
      <c r="D1613" s="4" t="str">
        <f>"20220365503"</f>
        <v>20220365503</v>
      </c>
      <c r="E1613" s="4" t="str">
        <f>"55"</f>
        <v>55</v>
      </c>
      <c r="F1613" s="4" t="str">
        <f>"03"</f>
        <v>03</v>
      </c>
      <c r="G1613" s="5">
        <v>62.38</v>
      </c>
      <c r="H1613" s="5" t="s">
        <v>14</v>
      </c>
      <c r="I1613" s="5">
        <v>72</v>
      </c>
      <c r="J1613" s="5" t="s">
        <v>14</v>
      </c>
      <c r="K1613" s="7">
        <v>69.11</v>
      </c>
      <c r="L1613" s="8">
        <v>13</v>
      </c>
      <c r="M1613" s="9"/>
    </row>
    <row r="1614" s="1" customFormat="1" ht="20.1" customHeight="1" spans="1:13">
      <c r="A1614" s="4" t="str">
        <f>"37502022030115545823965"</f>
        <v>37502022030115545823965</v>
      </c>
      <c r="B1614" s="4" t="s">
        <v>1567</v>
      </c>
      <c r="C1614" s="4" t="s">
        <v>760</v>
      </c>
      <c r="D1614" s="4" t="str">
        <f>"20220365409"</f>
        <v>20220365409</v>
      </c>
      <c r="E1614" s="4" t="str">
        <f t="shared" si="319"/>
        <v>54</v>
      </c>
      <c r="F1614" s="4" t="str">
        <f>"09"</f>
        <v>09</v>
      </c>
      <c r="G1614" s="5">
        <v>70.32</v>
      </c>
      <c r="H1614" s="5" t="s">
        <v>14</v>
      </c>
      <c r="I1614" s="5">
        <v>67.6</v>
      </c>
      <c r="J1614" s="5" t="s">
        <v>14</v>
      </c>
      <c r="K1614" s="7">
        <v>68.42</v>
      </c>
      <c r="L1614" s="8">
        <v>14</v>
      </c>
      <c r="M1614" s="9"/>
    </row>
    <row r="1615" s="1" customFormat="1" ht="20.1" customHeight="1" spans="1:13">
      <c r="A1615" s="4" t="str">
        <f>"37502022022810481421679"</f>
        <v>37502022022810481421679</v>
      </c>
      <c r="B1615" s="4" t="s">
        <v>1567</v>
      </c>
      <c r="C1615" s="4" t="s">
        <v>1580</v>
      </c>
      <c r="D1615" s="4" t="str">
        <f>"20220365414"</f>
        <v>20220365414</v>
      </c>
      <c r="E1615" s="4" t="str">
        <f t="shared" si="319"/>
        <v>54</v>
      </c>
      <c r="F1615" s="4" t="str">
        <f>"14"</f>
        <v>14</v>
      </c>
      <c r="G1615" s="5">
        <v>71.17</v>
      </c>
      <c r="H1615" s="5" t="s">
        <v>14</v>
      </c>
      <c r="I1615" s="5">
        <v>66.8</v>
      </c>
      <c r="J1615" s="5" t="s">
        <v>14</v>
      </c>
      <c r="K1615" s="7">
        <v>68.11</v>
      </c>
      <c r="L1615" s="8">
        <v>15</v>
      </c>
      <c r="M1615" s="9"/>
    </row>
    <row r="1616" s="1" customFormat="1" ht="20.1" customHeight="1" spans="1:13">
      <c r="A1616" s="4" t="str">
        <f>"37502022022818160322831"</f>
        <v>37502022022818160322831</v>
      </c>
      <c r="B1616" s="4" t="s">
        <v>1567</v>
      </c>
      <c r="C1616" s="4" t="s">
        <v>1581</v>
      </c>
      <c r="D1616" s="4" t="str">
        <f>"20220365420"</f>
        <v>20220365420</v>
      </c>
      <c r="E1616" s="4" t="str">
        <f t="shared" si="319"/>
        <v>54</v>
      </c>
      <c r="F1616" s="4" t="str">
        <f>"20"</f>
        <v>20</v>
      </c>
      <c r="G1616" s="5">
        <v>62.21</v>
      </c>
      <c r="H1616" s="5" t="s">
        <v>14</v>
      </c>
      <c r="I1616" s="5">
        <v>68.3</v>
      </c>
      <c r="J1616" s="5" t="s">
        <v>14</v>
      </c>
      <c r="K1616" s="7">
        <v>66.47</v>
      </c>
      <c r="L1616" s="8">
        <v>16</v>
      </c>
      <c r="M1616" s="9"/>
    </row>
    <row r="1617" s="1" customFormat="1" ht="20.1" customHeight="1" spans="1:13">
      <c r="A1617" s="4" t="str">
        <f>"37502022022619535019583"</f>
        <v>37502022022619535019583</v>
      </c>
      <c r="B1617" s="4" t="s">
        <v>1567</v>
      </c>
      <c r="C1617" s="4" t="s">
        <v>1582</v>
      </c>
      <c r="D1617" s="4" t="str">
        <f>"20220365428"</f>
        <v>20220365428</v>
      </c>
      <c r="E1617" s="4" t="str">
        <f t="shared" si="319"/>
        <v>54</v>
      </c>
      <c r="F1617" s="4" t="str">
        <f>"28"</f>
        <v>28</v>
      </c>
      <c r="G1617" s="5">
        <v>60.61</v>
      </c>
      <c r="H1617" s="5" t="s">
        <v>14</v>
      </c>
      <c r="I1617" s="5">
        <v>63</v>
      </c>
      <c r="J1617" s="5" t="s">
        <v>14</v>
      </c>
      <c r="K1617" s="7">
        <v>62.28</v>
      </c>
      <c r="L1617" s="8">
        <v>17</v>
      </c>
      <c r="M1617" s="9"/>
    </row>
    <row r="1618" s="1" customFormat="1" ht="20.1" customHeight="1" spans="1:13">
      <c r="A1618" s="4" t="str">
        <f>"37502022030213510525331"</f>
        <v>37502022030213510525331</v>
      </c>
      <c r="B1618" s="4" t="s">
        <v>1567</v>
      </c>
      <c r="C1618" s="4" t="s">
        <v>1583</v>
      </c>
      <c r="D1618" s="4" t="str">
        <f>"20220365423"</f>
        <v>20220365423</v>
      </c>
      <c r="E1618" s="4" t="str">
        <f t="shared" si="319"/>
        <v>54</v>
      </c>
      <c r="F1618" s="4" t="str">
        <f>"23"</f>
        <v>23</v>
      </c>
      <c r="G1618" s="5">
        <v>61.22</v>
      </c>
      <c r="H1618" s="5" t="s">
        <v>14</v>
      </c>
      <c r="I1618" s="5">
        <v>59.3</v>
      </c>
      <c r="J1618" s="5" t="s">
        <v>14</v>
      </c>
      <c r="K1618" s="7">
        <v>59.88</v>
      </c>
      <c r="L1618" s="8">
        <v>18</v>
      </c>
      <c r="M1618" s="9"/>
    </row>
    <row r="1619" s="1" customFormat="1" ht="20.1" customHeight="1" spans="1:13">
      <c r="A1619" s="4" t="str">
        <f>"37502022022719555220730"</f>
        <v>37502022022719555220730</v>
      </c>
      <c r="B1619" s="4" t="s">
        <v>1567</v>
      </c>
      <c r="C1619" s="4" t="s">
        <v>1584</v>
      </c>
      <c r="D1619" s="4" t="str">
        <f>"20220365415"</f>
        <v>20220365415</v>
      </c>
      <c r="E1619" s="4" t="str">
        <f t="shared" si="319"/>
        <v>54</v>
      </c>
      <c r="F1619" s="4" t="str">
        <f>"15"</f>
        <v>15</v>
      </c>
      <c r="G1619" s="5">
        <v>0</v>
      </c>
      <c r="H1619" s="5" t="s">
        <v>74</v>
      </c>
      <c r="I1619" s="5">
        <v>0</v>
      </c>
      <c r="J1619" s="5" t="s">
        <v>74</v>
      </c>
      <c r="K1619" s="7">
        <v>0</v>
      </c>
      <c r="L1619" s="8">
        <v>19</v>
      </c>
      <c r="M1619" s="9"/>
    </row>
    <row r="1620" s="1" customFormat="1" ht="20.1" customHeight="1" spans="1:13">
      <c r="A1620" s="4" t="str">
        <f>"37502022022808370621339"</f>
        <v>37502022022808370621339</v>
      </c>
      <c r="B1620" s="4" t="s">
        <v>1567</v>
      </c>
      <c r="C1620" s="4" t="s">
        <v>1585</v>
      </c>
      <c r="D1620" s="4" t="str">
        <f>"20220365424"</f>
        <v>20220365424</v>
      </c>
      <c r="E1620" s="4" t="str">
        <f t="shared" si="319"/>
        <v>54</v>
      </c>
      <c r="F1620" s="4" t="str">
        <f>"24"</f>
        <v>24</v>
      </c>
      <c r="G1620" s="5">
        <v>0</v>
      </c>
      <c r="H1620" s="5" t="s">
        <v>74</v>
      </c>
      <c r="I1620" s="5">
        <v>0</v>
      </c>
      <c r="J1620" s="5" t="s">
        <v>74</v>
      </c>
      <c r="K1620" s="7">
        <v>0</v>
      </c>
      <c r="L1620" s="8">
        <v>19</v>
      </c>
      <c r="M1620" s="9"/>
    </row>
    <row r="1621" s="1" customFormat="1" ht="20.1" customHeight="1" spans="1:13">
      <c r="A1621" s="4" t="str">
        <f>"37502022030121433224613"</f>
        <v>37502022030121433224613</v>
      </c>
      <c r="B1621" s="4" t="s">
        <v>1567</v>
      </c>
      <c r="C1621" s="4" t="s">
        <v>1586</v>
      </c>
      <c r="D1621" s="4" t="str">
        <f>"20220365418"</f>
        <v>20220365418</v>
      </c>
      <c r="E1621" s="4" t="str">
        <f t="shared" si="319"/>
        <v>54</v>
      </c>
      <c r="F1621" s="4" t="str">
        <f>"18"</f>
        <v>18</v>
      </c>
      <c r="G1621" s="5">
        <v>0</v>
      </c>
      <c r="H1621" s="5" t="s">
        <v>74</v>
      </c>
      <c r="I1621" s="5">
        <v>0</v>
      </c>
      <c r="J1621" s="5" t="s">
        <v>74</v>
      </c>
      <c r="K1621" s="7">
        <v>0</v>
      </c>
      <c r="L1621" s="8">
        <v>19</v>
      </c>
      <c r="M1621" s="9"/>
    </row>
    <row r="1622" s="1" customFormat="1" ht="20.1" customHeight="1" spans="1:13">
      <c r="A1622" s="4" t="str">
        <f>"37502022030214255325389"</f>
        <v>37502022030214255325389</v>
      </c>
      <c r="B1622" s="4" t="s">
        <v>1567</v>
      </c>
      <c r="C1622" s="4" t="s">
        <v>1587</v>
      </c>
      <c r="D1622" s="4" t="str">
        <f>"20220365426"</f>
        <v>20220365426</v>
      </c>
      <c r="E1622" s="4" t="str">
        <f t="shared" si="319"/>
        <v>54</v>
      </c>
      <c r="F1622" s="4" t="str">
        <f>"26"</f>
        <v>26</v>
      </c>
      <c r="G1622" s="5">
        <v>0</v>
      </c>
      <c r="H1622" s="5" t="s">
        <v>74</v>
      </c>
      <c r="I1622" s="5">
        <v>0</v>
      </c>
      <c r="J1622" s="5" t="s">
        <v>74</v>
      </c>
      <c r="K1622" s="7">
        <v>0</v>
      </c>
      <c r="L1622" s="8">
        <v>19</v>
      </c>
      <c r="M1622" s="9"/>
    </row>
    <row r="1623" s="1" customFormat="1" ht="20.1" customHeight="1" spans="1:13">
      <c r="A1623" s="4" t="str">
        <f>"37502022030216003525508"</f>
        <v>37502022030216003525508</v>
      </c>
      <c r="B1623" s="4" t="s">
        <v>1567</v>
      </c>
      <c r="C1623" s="4" t="s">
        <v>1588</v>
      </c>
      <c r="D1623" s="4" t="str">
        <f>"20220365417"</f>
        <v>20220365417</v>
      </c>
      <c r="E1623" s="4" t="str">
        <f t="shared" si="319"/>
        <v>54</v>
      </c>
      <c r="F1623" s="4" t="str">
        <f>"17"</f>
        <v>17</v>
      </c>
      <c r="G1623" s="5">
        <v>0</v>
      </c>
      <c r="H1623" s="5" t="s">
        <v>74</v>
      </c>
      <c r="I1623" s="5">
        <v>0</v>
      </c>
      <c r="J1623" s="5" t="s">
        <v>74</v>
      </c>
      <c r="K1623" s="7">
        <v>0</v>
      </c>
      <c r="L1623" s="8">
        <v>19</v>
      </c>
      <c r="M1623" s="9"/>
    </row>
    <row r="1624" s="1" customFormat="1" ht="20.1" customHeight="1" spans="1:13">
      <c r="A1624" s="4" t="str">
        <f>"37502022030216393425552"</f>
        <v>37502022030216393425552</v>
      </c>
      <c r="B1624" s="4" t="s">
        <v>1567</v>
      </c>
      <c r="C1624" s="4" t="s">
        <v>1589</v>
      </c>
      <c r="D1624" s="4" t="str">
        <f>"20220365429"</f>
        <v>20220365429</v>
      </c>
      <c r="E1624" s="4" t="str">
        <f t="shared" si="319"/>
        <v>54</v>
      </c>
      <c r="F1624" s="4" t="str">
        <f>"29"</f>
        <v>29</v>
      </c>
      <c r="G1624" s="5">
        <v>0</v>
      </c>
      <c r="H1624" s="5" t="s">
        <v>74</v>
      </c>
      <c r="I1624" s="5">
        <v>0</v>
      </c>
      <c r="J1624" s="5" t="s">
        <v>74</v>
      </c>
      <c r="K1624" s="7">
        <v>0</v>
      </c>
      <c r="L1624" s="8">
        <v>19</v>
      </c>
      <c r="M1624" s="9"/>
    </row>
    <row r="1625" s="1" customFormat="1" ht="20.1" customHeight="1" spans="1:13">
      <c r="A1625" s="4" t="str">
        <f>"37502022030221152325999"</f>
        <v>37502022030221152325999</v>
      </c>
      <c r="B1625" s="4" t="s">
        <v>1567</v>
      </c>
      <c r="C1625" s="4" t="s">
        <v>1590</v>
      </c>
      <c r="D1625" s="4" t="str">
        <f>"20220365427"</f>
        <v>20220365427</v>
      </c>
      <c r="E1625" s="4" t="str">
        <f t="shared" si="319"/>
        <v>54</v>
      </c>
      <c r="F1625" s="4" t="str">
        <f>"27"</f>
        <v>27</v>
      </c>
      <c r="G1625" s="5">
        <v>0</v>
      </c>
      <c r="H1625" s="5" t="s">
        <v>74</v>
      </c>
      <c r="I1625" s="5">
        <v>0</v>
      </c>
      <c r="J1625" s="5" t="s">
        <v>74</v>
      </c>
      <c r="K1625" s="7">
        <v>0</v>
      </c>
      <c r="L1625" s="8">
        <v>19</v>
      </c>
      <c r="M1625" s="9"/>
    </row>
    <row r="1626" s="1" customFormat="1" ht="20.1" customHeight="1" spans="1:13">
      <c r="A1626" s="4" t="str">
        <f>"37502022030223343426190"</f>
        <v>37502022030223343426190</v>
      </c>
      <c r="B1626" s="4" t="s">
        <v>1567</v>
      </c>
      <c r="C1626" s="4" t="s">
        <v>1591</v>
      </c>
      <c r="D1626" s="4" t="str">
        <f>"20220365430"</f>
        <v>20220365430</v>
      </c>
      <c r="E1626" s="4" t="str">
        <f t="shared" si="319"/>
        <v>54</v>
      </c>
      <c r="F1626" s="4" t="str">
        <f>"30"</f>
        <v>30</v>
      </c>
      <c r="G1626" s="5">
        <v>0</v>
      </c>
      <c r="H1626" s="5" t="s">
        <v>74</v>
      </c>
      <c r="I1626" s="5">
        <v>0</v>
      </c>
      <c r="J1626" s="5" t="s">
        <v>74</v>
      </c>
      <c r="K1626" s="7">
        <v>0</v>
      </c>
      <c r="L1626" s="8">
        <v>19</v>
      </c>
      <c r="M1626" s="9"/>
    </row>
    <row r="1627" s="1" customFormat="1" ht="20.1" customHeight="1" spans="1:13">
      <c r="A1627" s="4" t="str">
        <f>"37502022022609365118737"</f>
        <v>37502022022609365118737</v>
      </c>
      <c r="B1627" s="4" t="s">
        <v>1592</v>
      </c>
      <c r="C1627" s="4" t="s">
        <v>1593</v>
      </c>
      <c r="D1627" s="4" t="str">
        <f>"20220375523"</f>
        <v>20220375523</v>
      </c>
      <c r="E1627" s="4" t="str">
        <f t="shared" ref="E1627:E1646" si="320">"55"</f>
        <v>55</v>
      </c>
      <c r="F1627" s="4" t="str">
        <f>"23"</f>
        <v>23</v>
      </c>
      <c r="G1627" s="5">
        <v>78.94</v>
      </c>
      <c r="H1627" s="5" t="s">
        <v>14</v>
      </c>
      <c r="I1627" s="5">
        <v>81.5</v>
      </c>
      <c r="J1627" s="5" t="s">
        <v>14</v>
      </c>
      <c r="K1627" s="7">
        <v>80.73</v>
      </c>
      <c r="L1627" s="8">
        <v>1</v>
      </c>
      <c r="M1627" s="9"/>
    </row>
    <row r="1628" s="1" customFormat="1" ht="20.1" customHeight="1" spans="1:13">
      <c r="A1628" s="4" t="str">
        <f>"37502022030107392923105"</f>
        <v>37502022030107392923105</v>
      </c>
      <c r="B1628" s="4" t="s">
        <v>1592</v>
      </c>
      <c r="C1628" s="4" t="s">
        <v>1594</v>
      </c>
      <c r="D1628" s="4" t="str">
        <f>"20220375511"</f>
        <v>20220375511</v>
      </c>
      <c r="E1628" s="4" t="str">
        <f t="shared" si="320"/>
        <v>55</v>
      </c>
      <c r="F1628" s="4" t="str">
        <f>"11"</f>
        <v>11</v>
      </c>
      <c r="G1628" s="5">
        <v>77.45</v>
      </c>
      <c r="H1628" s="5" t="s">
        <v>14</v>
      </c>
      <c r="I1628" s="5">
        <v>80.1</v>
      </c>
      <c r="J1628" s="5" t="s">
        <v>14</v>
      </c>
      <c r="K1628" s="7">
        <v>79.31</v>
      </c>
      <c r="L1628" s="8">
        <v>2</v>
      </c>
      <c r="M1628" s="9"/>
    </row>
    <row r="1629" s="1" customFormat="1" ht="20.1" customHeight="1" spans="1:13">
      <c r="A1629" s="4" t="str">
        <f>"37502022030123535924753"</f>
        <v>37502022030123535924753</v>
      </c>
      <c r="B1629" s="4" t="s">
        <v>1592</v>
      </c>
      <c r="C1629" s="4" t="s">
        <v>1595</v>
      </c>
      <c r="D1629" s="4" t="str">
        <f>"20220375524"</f>
        <v>20220375524</v>
      </c>
      <c r="E1629" s="4" t="str">
        <f t="shared" si="320"/>
        <v>55</v>
      </c>
      <c r="F1629" s="4" t="str">
        <f>"24"</f>
        <v>24</v>
      </c>
      <c r="G1629" s="5">
        <v>64.98</v>
      </c>
      <c r="H1629" s="5" t="s">
        <v>14</v>
      </c>
      <c r="I1629" s="5">
        <v>84</v>
      </c>
      <c r="J1629" s="5" t="s">
        <v>14</v>
      </c>
      <c r="K1629" s="7">
        <v>78.29</v>
      </c>
      <c r="L1629" s="8">
        <v>3</v>
      </c>
      <c r="M1629" s="9"/>
    </row>
    <row r="1630" s="1" customFormat="1" ht="20.1" customHeight="1" spans="1:13">
      <c r="A1630" s="4" t="str">
        <f>"37502022030120215724447"</f>
        <v>37502022030120215724447</v>
      </c>
      <c r="B1630" s="4" t="s">
        <v>1592</v>
      </c>
      <c r="C1630" s="4" t="s">
        <v>1596</v>
      </c>
      <c r="D1630" s="4" t="str">
        <f>"20220375522"</f>
        <v>20220375522</v>
      </c>
      <c r="E1630" s="4" t="str">
        <f t="shared" si="320"/>
        <v>55</v>
      </c>
      <c r="F1630" s="4" t="str">
        <f>"22"</f>
        <v>22</v>
      </c>
      <c r="G1630" s="5">
        <v>76.8</v>
      </c>
      <c r="H1630" s="5" t="s">
        <v>14</v>
      </c>
      <c r="I1630" s="5">
        <v>76.3</v>
      </c>
      <c r="J1630" s="5" t="s">
        <v>14</v>
      </c>
      <c r="K1630" s="7">
        <v>76.45</v>
      </c>
      <c r="L1630" s="8">
        <v>4</v>
      </c>
      <c r="M1630" s="9"/>
    </row>
    <row r="1631" s="1" customFormat="1" ht="20.1" customHeight="1" spans="1:13">
      <c r="A1631" s="4" t="str">
        <f>"37502022022715225320329"</f>
        <v>37502022022715225320329</v>
      </c>
      <c r="B1631" s="4" t="s">
        <v>1592</v>
      </c>
      <c r="C1631" s="4" t="s">
        <v>1597</v>
      </c>
      <c r="D1631" s="4" t="str">
        <f>"20220375505"</f>
        <v>20220375505</v>
      </c>
      <c r="E1631" s="4" t="str">
        <f t="shared" si="320"/>
        <v>55</v>
      </c>
      <c r="F1631" s="4" t="str">
        <f>"05"</f>
        <v>05</v>
      </c>
      <c r="G1631" s="5">
        <v>75.81</v>
      </c>
      <c r="H1631" s="5" t="s">
        <v>14</v>
      </c>
      <c r="I1631" s="5">
        <v>76.5</v>
      </c>
      <c r="J1631" s="5" t="s">
        <v>14</v>
      </c>
      <c r="K1631" s="7">
        <v>76.29</v>
      </c>
      <c r="L1631" s="8">
        <v>5</v>
      </c>
      <c r="M1631" s="9"/>
    </row>
    <row r="1632" s="1" customFormat="1" ht="20.1" customHeight="1" spans="1:13">
      <c r="A1632" s="4" t="str">
        <f>"37502022030120412524492"</f>
        <v>37502022030120412524492</v>
      </c>
      <c r="B1632" s="4" t="s">
        <v>1592</v>
      </c>
      <c r="C1632" s="4" t="s">
        <v>1598</v>
      </c>
      <c r="D1632" s="4" t="str">
        <f>"20220375507"</f>
        <v>20220375507</v>
      </c>
      <c r="E1632" s="4" t="str">
        <f t="shared" si="320"/>
        <v>55</v>
      </c>
      <c r="F1632" s="4" t="str">
        <f>"07"</f>
        <v>07</v>
      </c>
      <c r="G1632" s="5">
        <v>73.17</v>
      </c>
      <c r="H1632" s="5" t="s">
        <v>14</v>
      </c>
      <c r="I1632" s="5">
        <v>75.6</v>
      </c>
      <c r="J1632" s="5" t="s">
        <v>14</v>
      </c>
      <c r="K1632" s="7">
        <v>74.87</v>
      </c>
      <c r="L1632" s="8">
        <v>6</v>
      </c>
      <c r="M1632" s="9"/>
    </row>
    <row r="1633" s="1" customFormat="1" ht="20.1" customHeight="1" spans="1:13">
      <c r="A1633" s="4" t="str">
        <f>"37502022022609001218670"</f>
        <v>37502022022609001218670</v>
      </c>
      <c r="B1633" s="4" t="s">
        <v>1592</v>
      </c>
      <c r="C1633" s="4" t="s">
        <v>1599</v>
      </c>
      <c r="D1633" s="4" t="str">
        <f>"20220375516"</f>
        <v>20220375516</v>
      </c>
      <c r="E1633" s="4" t="str">
        <f t="shared" si="320"/>
        <v>55</v>
      </c>
      <c r="F1633" s="4" t="str">
        <f>"16"</f>
        <v>16</v>
      </c>
      <c r="G1633" s="5">
        <v>70.65</v>
      </c>
      <c r="H1633" s="5" t="s">
        <v>14</v>
      </c>
      <c r="I1633" s="5">
        <v>76.1</v>
      </c>
      <c r="J1633" s="5" t="s">
        <v>14</v>
      </c>
      <c r="K1633" s="7">
        <v>74.47</v>
      </c>
      <c r="L1633" s="8">
        <v>7</v>
      </c>
      <c r="M1633" s="9"/>
    </row>
    <row r="1634" s="1" customFormat="1" ht="20.1" customHeight="1" spans="1:13">
      <c r="A1634" s="4" t="str">
        <f>"37502022030110154323360"</f>
        <v>37502022030110154323360</v>
      </c>
      <c r="B1634" s="4" t="s">
        <v>1592</v>
      </c>
      <c r="C1634" s="4" t="s">
        <v>1600</v>
      </c>
      <c r="D1634" s="4" t="str">
        <f>"20220375514"</f>
        <v>20220375514</v>
      </c>
      <c r="E1634" s="4" t="str">
        <f t="shared" si="320"/>
        <v>55</v>
      </c>
      <c r="F1634" s="4" t="str">
        <f>"14"</f>
        <v>14</v>
      </c>
      <c r="G1634" s="5">
        <v>74.23</v>
      </c>
      <c r="H1634" s="5" t="s">
        <v>14</v>
      </c>
      <c r="I1634" s="5">
        <v>73.4</v>
      </c>
      <c r="J1634" s="5" t="s">
        <v>14</v>
      </c>
      <c r="K1634" s="7">
        <v>73.65</v>
      </c>
      <c r="L1634" s="8">
        <v>8</v>
      </c>
      <c r="M1634" s="9"/>
    </row>
    <row r="1635" s="1" customFormat="1" ht="20.1" customHeight="1" spans="1:13">
      <c r="A1635" s="4" t="str">
        <f>"37502022030220003425861"</f>
        <v>37502022030220003425861</v>
      </c>
      <c r="B1635" s="4" t="s">
        <v>1592</v>
      </c>
      <c r="C1635" s="4" t="s">
        <v>1601</v>
      </c>
      <c r="D1635" s="4" t="str">
        <f>"20220375518"</f>
        <v>20220375518</v>
      </c>
      <c r="E1635" s="4" t="str">
        <f t="shared" si="320"/>
        <v>55</v>
      </c>
      <c r="F1635" s="4" t="str">
        <f>"18"</f>
        <v>18</v>
      </c>
      <c r="G1635" s="5">
        <v>72.79</v>
      </c>
      <c r="H1635" s="5" t="s">
        <v>14</v>
      </c>
      <c r="I1635" s="5">
        <v>74</v>
      </c>
      <c r="J1635" s="5" t="s">
        <v>14</v>
      </c>
      <c r="K1635" s="7">
        <v>73.64</v>
      </c>
      <c r="L1635" s="8">
        <v>9</v>
      </c>
      <c r="M1635" s="9"/>
    </row>
    <row r="1636" s="1" customFormat="1" ht="20.1" customHeight="1" spans="1:13">
      <c r="A1636" s="4" t="str">
        <f>"37502022030214492425417"</f>
        <v>37502022030214492425417</v>
      </c>
      <c r="B1636" s="4" t="s">
        <v>1592</v>
      </c>
      <c r="C1636" s="4" t="s">
        <v>1602</v>
      </c>
      <c r="D1636" s="4" t="str">
        <f>"20220375521"</f>
        <v>20220375521</v>
      </c>
      <c r="E1636" s="4" t="str">
        <f t="shared" si="320"/>
        <v>55</v>
      </c>
      <c r="F1636" s="4" t="str">
        <f>"21"</f>
        <v>21</v>
      </c>
      <c r="G1636" s="5">
        <v>65.6</v>
      </c>
      <c r="H1636" s="5" t="s">
        <v>14</v>
      </c>
      <c r="I1636" s="5">
        <v>74.7</v>
      </c>
      <c r="J1636" s="5" t="s">
        <v>14</v>
      </c>
      <c r="K1636" s="7">
        <v>71.97</v>
      </c>
      <c r="L1636" s="8">
        <v>10</v>
      </c>
      <c r="M1636" s="9"/>
    </row>
    <row r="1637" s="1" customFormat="1" ht="20.1" customHeight="1" spans="1:13">
      <c r="A1637" s="4" t="str">
        <f>"37502022030220580025972"</f>
        <v>37502022030220580025972</v>
      </c>
      <c r="B1637" s="4" t="s">
        <v>1592</v>
      </c>
      <c r="C1637" s="4" t="s">
        <v>1603</v>
      </c>
      <c r="D1637" s="4" t="str">
        <f>"20220375510"</f>
        <v>20220375510</v>
      </c>
      <c r="E1637" s="4" t="str">
        <f t="shared" si="320"/>
        <v>55</v>
      </c>
      <c r="F1637" s="4" t="str">
        <f>"10"</f>
        <v>10</v>
      </c>
      <c r="G1637" s="5">
        <v>68.04</v>
      </c>
      <c r="H1637" s="5" t="s">
        <v>14</v>
      </c>
      <c r="I1637" s="5">
        <v>72.7</v>
      </c>
      <c r="J1637" s="5" t="s">
        <v>14</v>
      </c>
      <c r="K1637" s="7">
        <v>71.3</v>
      </c>
      <c r="L1637" s="8">
        <v>11</v>
      </c>
      <c r="M1637" s="9"/>
    </row>
    <row r="1638" s="1" customFormat="1" ht="20.1" customHeight="1" spans="1:13">
      <c r="A1638" s="4" t="str">
        <f>"37502022022808201821310"</f>
        <v>37502022022808201821310</v>
      </c>
      <c r="B1638" s="4" t="s">
        <v>1592</v>
      </c>
      <c r="C1638" s="4" t="s">
        <v>1604</v>
      </c>
      <c r="D1638" s="4" t="str">
        <f>"20220375517"</f>
        <v>20220375517</v>
      </c>
      <c r="E1638" s="4" t="str">
        <f t="shared" si="320"/>
        <v>55</v>
      </c>
      <c r="F1638" s="4" t="str">
        <f>"17"</f>
        <v>17</v>
      </c>
      <c r="G1638" s="5">
        <v>70.29</v>
      </c>
      <c r="H1638" s="5" t="s">
        <v>14</v>
      </c>
      <c r="I1638" s="5">
        <v>70.3</v>
      </c>
      <c r="J1638" s="5" t="s">
        <v>14</v>
      </c>
      <c r="K1638" s="7">
        <v>70.3</v>
      </c>
      <c r="L1638" s="8">
        <v>12</v>
      </c>
      <c r="M1638" s="9"/>
    </row>
    <row r="1639" s="1" customFormat="1" ht="20.1" customHeight="1" spans="1:13">
      <c r="A1639" s="4" t="str">
        <f>"37502022030214442225410"</f>
        <v>37502022030214442225410</v>
      </c>
      <c r="B1639" s="4" t="s">
        <v>1592</v>
      </c>
      <c r="C1639" s="4" t="s">
        <v>1605</v>
      </c>
      <c r="D1639" s="4" t="str">
        <f>"20220375509"</f>
        <v>20220375509</v>
      </c>
      <c r="E1639" s="4" t="str">
        <f t="shared" si="320"/>
        <v>55</v>
      </c>
      <c r="F1639" s="4" t="str">
        <f>"09"</f>
        <v>09</v>
      </c>
      <c r="G1639" s="5">
        <v>66.6</v>
      </c>
      <c r="H1639" s="5" t="s">
        <v>14</v>
      </c>
      <c r="I1639" s="5">
        <v>66.9</v>
      </c>
      <c r="J1639" s="5" t="s">
        <v>14</v>
      </c>
      <c r="K1639" s="7">
        <v>66.81</v>
      </c>
      <c r="L1639" s="8">
        <v>13</v>
      </c>
      <c r="M1639" s="9"/>
    </row>
    <row r="1640" s="1" customFormat="1" ht="20.1" customHeight="1" spans="1:13">
      <c r="A1640" s="4" t="str">
        <f>"37502022030112494923675"</f>
        <v>37502022030112494923675</v>
      </c>
      <c r="B1640" s="4" t="s">
        <v>1592</v>
      </c>
      <c r="C1640" s="4" t="s">
        <v>1606</v>
      </c>
      <c r="D1640" s="4" t="str">
        <f>"20220375508"</f>
        <v>20220375508</v>
      </c>
      <c r="E1640" s="4" t="str">
        <f t="shared" si="320"/>
        <v>55</v>
      </c>
      <c r="F1640" s="4" t="str">
        <f>"08"</f>
        <v>08</v>
      </c>
      <c r="G1640" s="5">
        <v>57.56</v>
      </c>
      <c r="H1640" s="5" t="s">
        <v>14</v>
      </c>
      <c r="I1640" s="5">
        <v>69.8</v>
      </c>
      <c r="J1640" s="5" t="s">
        <v>14</v>
      </c>
      <c r="K1640" s="7">
        <v>66.13</v>
      </c>
      <c r="L1640" s="8">
        <v>14</v>
      </c>
      <c r="M1640" s="9"/>
    </row>
    <row r="1641" s="1" customFormat="1" ht="20.1" customHeight="1" spans="1:13">
      <c r="A1641" s="4" t="str">
        <f>"37502022022812334021949"</f>
        <v>37502022022812334021949</v>
      </c>
      <c r="B1641" s="4" t="s">
        <v>1592</v>
      </c>
      <c r="C1641" s="4" t="s">
        <v>1607</v>
      </c>
      <c r="D1641" s="4" t="str">
        <f>"20220375506"</f>
        <v>20220375506</v>
      </c>
      <c r="E1641" s="4" t="str">
        <f t="shared" si="320"/>
        <v>55</v>
      </c>
      <c r="F1641" s="4" t="str">
        <f>"06"</f>
        <v>06</v>
      </c>
      <c r="G1641" s="5">
        <v>63.81</v>
      </c>
      <c r="H1641" s="5" t="s">
        <v>14</v>
      </c>
      <c r="I1641" s="5">
        <v>64.9</v>
      </c>
      <c r="J1641" s="5" t="s">
        <v>14</v>
      </c>
      <c r="K1641" s="7">
        <v>64.57</v>
      </c>
      <c r="L1641" s="8">
        <v>15</v>
      </c>
      <c r="M1641" s="9"/>
    </row>
    <row r="1642" s="1" customFormat="1" ht="20.1" customHeight="1" spans="1:13">
      <c r="A1642" s="4" t="str">
        <f>"37502022022609373418743"</f>
        <v>37502022022609373418743</v>
      </c>
      <c r="B1642" s="4" t="s">
        <v>1592</v>
      </c>
      <c r="C1642" s="4" t="s">
        <v>1608</v>
      </c>
      <c r="D1642" s="4" t="str">
        <f>"20220375515"</f>
        <v>20220375515</v>
      </c>
      <c r="E1642" s="4" t="str">
        <f t="shared" si="320"/>
        <v>55</v>
      </c>
      <c r="F1642" s="4" t="str">
        <f>"15"</f>
        <v>15</v>
      </c>
      <c r="G1642" s="5">
        <v>0</v>
      </c>
      <c r="H1642" s="5" t="s">
        <v>74</v>
      </c>
      <c r="I1642" s="5">
        <v>0</v>
      </c>
      <c r="J1642" s="5" t="s">
        <v>74</v>
      </c>
      <c r="K1642" s="7">
        <v>0</v>
      </c>
      <c r="L1642" s="8">
        <v>16</v>
      </c>
      <c r="M1642" s="9"/>
    </row>
    <row r="1643" s="1" customFormat="1" ht="20.1" customHeight="1" spans="1:13">
      <c r="A1643" s="4" t="str">
        <f>"37502022022613542219186"</f>
        <v>37502022022613542219186</v>
      </c>
      <c r="B1643" s="4" t="s">
        <v>1592</v>
      </c>
      <c r="C1643" s="4" t="s">
        <v>1609</v>
      </c>
      <c r="D1643" s="4" t="str">
        <f>"20220375519"</f>
        <v>20220375519</v>
      </c>
      <c r="E1643" s="4" t="str">
        <f t="shared" si="320"/>
        <v>55</v>
      </c>
      <c r="F1643" s="4" t="str">
        <f>"19"</f>
        <v>19</v>
      </c>
      <c r="G1643" s="5">
        <v>0</v>
      </c>
      <c r="H1643" s="5" t="s">
        <v>74</v>
      </c>
      <c r="I1643" s="5">
        <v>0</v>
      </c>
      <c r="J1643" s="5" t="s">
        <v>74</v>
      </c>
      <c r="K1643" s="7">
        <v>0</v>
      </c>
      <c r="L1643" s="8">
        <v>16</v>
      </c>
      <c r="M1643" s="9"/>
    </row>
    <row r="1644" s="1" customFormat="1" ht="20.1" customHeight="1" spans="1:13">
      <c r="A1644" s="4" t="str">
        <f>"37502022030112270423632"</f>
        <v>37502022030112270423632</v>
      </c>
      <c r="B1644" s="4" t="s">
        <v>1592</v>
      </c>
      <c r="C1644" s="4" t="s">
        <v>1610</v>
      </c>
      <c r="D1644" s="4" t="str">
        <f>"20220375513"</f>
        <v>20220375513</v>
      </c>
      <c r="E1644" s="4" t="str">
        <f t="shared" si="320"/>
        <v>55</v>
      </c>
      <c r="F1644" s="4" t="str">
        <f>"13"</f>
        <v>13</v>
      </c>
      <c r="G1644" s="5">
        <v>0</v>
      </c>
      <c r="H1644" s="5" t="s">
        <v>74</v>
      </c>
      <c r="I1644" s="5">
        <v>0</v>
      </c>
      <c r="J1644" s="5" t="s">
        <v>74</v>
      </c>
      <c r="K1644" s="7">
        <v>0</v>
      </c>
      <c r="L1644" s="8">
        <v>16</v>
      </c>
      <c r="M1644" s="9"/>
    </row>
    <row r="1645" s="1" customFormat="1" ht="20.1" customHeight="1" spans="1:13">
      <c r="A1645" s="4" t="str">
        <f>"37502022030208134224822"</f>
        <v>37502022030208134224822</v>
      </c>
      <c r="B1645" s="4" t="s">
        <v>1592</v>
      </c>
      <c r="C1645" s="4" t="s">
        <v>1611</v>
      </c>
      <c r="D1645" s="4" t="str">
        <f>"20220375512"</f>
        <v>20220375512</v>
      </c>
      <c r="E1645" s="4" t="str">
        <f t="shared" si="320"/>
        <v>55</v>
      </c>
      <c r="F1645" s="4" t="str">
        <f>"12"</f>
        <v>12</v>
      </c>
      <c r="G1645" s="5">
        <v>0</v>
      </c>
      <c r="H1645" s="5" t="s">
        <v>74</v>
      </c>
      <c r="I1645" s="5">
        <v>0</v>
      </c>
      <c r="J1645" s="5" t="s">
        <v>74</v>
      </c>
      <c r="K1645" s="7">
        <v>0</v>
      </c>
      <c r="L1645" s="8">
        <v>16</v>
      </c>
      <c r="M1645" s="9"/>
    </row>
    <row r="1646" s="1" customFormat="1" ht="20.1" customHeight="1" spans="1:13">
      <c r="A1646" s="4" t="str">
        <f>"37502022030210040424982"</f>
        <v>37502022030210040424982</v>
      </c>
      <c r="B1646" s="4" t="s">
        <v>1592</v>
      </c>
      <c r="C1646" s="4" t="s">
        <v>1612</v>
      </c>
      <c r="D1646" s="4" t="str">
        <f>"20220375520"</f>
        <v>20220375520</v>
      </c>
      <c r="E1646" s="4" t="str">
        <f t="shared" si="320"/>
        <v>55</v>
      </c>
      <c r="F1646" s="4" t="str">
        <f>"20"</f>
        <v>20</v>
      </c>
      <c r="G1646" s="5">
        <v>0</v>
      </c>
      <c r="H1646" s="5" t="s">
        <v>74</v>
      </c>
      <c r="I1646" s="5">
        <v>0</v>
      </c>
      <c r="J1646" s="5" t="s">
        <v>74</v>
      </c>
      <c r="K1646" s="7">
        <v>0</v>
      </c>
      <c r="L1646" s="8">
        <v>16</v>
      </c>
      <c r="M1646" s="9"/>
    </row>
    <row r="1647" s="1" customFormat="1" ht="20.1" customHeight="1" spans="1:13">
      <c r="A1647" s="4" t="str">
        <f>"37502022030222072826082"</f>
        <v>37502022030222072826082</v>
      </c>
      <c r="B1647" s="4" t="s">
        <v>1613</v>
      </c>
      <c r="C1647" s="4" t="s">
        <v>1614</v>
      </c>
      <c r="D1647" s="4" t="str">
        <f>"20220385610"</f>
        <v>20220385610</v>
      </c>
      <c r="E1647" s="4" t="str">
        <f t="shared" ref="E1647:E1650" si="321">"56"</f>
        <v>56</v>
      </c>
      <c r="F1647" s="4" t="str">
        <f>"10"</f>
        <v>10</v>
      </c>
      <c r="G1647" s="5">
        <v>70.92</v>
      </c>
      <c r="H1647" s="5" t="s">
        <v>14</v>
      </c>
      <c r="I1647" s="5">
        <v>83.3</v>
      </c>
      <c r="J1647" s="5" t="s">
        <v>14</v>
      </c>
      <c r="K1647" s="7">
        <v>79.59</v>
      </c>
      <c r="L1647" s="8">
        <v>1</v>
      </c>
      <c r="M1647" s="9"/>
    </row>
    <row r="1648" s="1" customFormat="1" ht="20.1" customHeight="1" spans="1:13">
      <c r="A1648" s="4" t="str">
        <f>"37502022030111551723583"</f>
        <v>37502022030111551723583</v>
      </c>
      <c r="B1648" s="4" t="s">
        <v>1613</v>
      </c>
      <c r="C1648" s="4" t="s">
        <v>1615</v>
      </c>
      <c r="D1648" s="4" t="str">
        <f>"20220385606"</f>
        <v>20220385606</v>
      </c>
      <c r="E1648" s="4" t="str">
        <f t="shared" si="321"/>
        <v>56</v>
      </c>
      <c r="F1648" s="4" t="str">
        <f>"06"</f>
        <v>06</v>
      </c>
      <c r="G1648" s="5">
        <v>77.68</v>
      </c>
      <c r="H1648" s="5" t="s">
        <v>14</v>
      </c>
      <c r="I1648" s="5">
        <v>79.1</v>
      </c>
      <c r="J1648" s="5" t="s">
        <v>14</v>
      </c>
      <c r="K1648" s="7">
        <v>78.67</v>
      </c>
      <c r="L1648" s="8">
        <v>2</v>
      </c>
      <c r="M1648" s="9"/>
    </row>
    <row r="1649" s="1" customFormat="1" ht="20.1" customHeight="1" spans="1:13">
      <c r="A1649" s="4" t="str">
        <f>"37502022022612183819072"</f>
        <v>37502022022612183819072</v>
      </c>
      <c r="B1649" s="4" t="s">
        <v>1613</v>
      </c>
      <c r="C1649" s="4" t="s">
        <v>1616</v>
      </c>
      <c r="D1649" s="4" t="str">
        <f>"20220385527"</f>
        <v>20220385527</v>
      </c>
      <c r="E1649" s="4" t="str">
        <f>"55"</f>
        <v>55</v>
      </c>
      <c r="F1649" s="4" t="str">
        <f>"27"</f>
        <v>27</v>
      </c>
      <c r="G1649" s="5">
        <v>79.94</v>
      </c>
      <c r="H1649" s="5" t="s">
        <v>14</v>
      </c>
      <c r="I1649" s="5">
        <v>75.9</v>
      </c>
      <c r="J1649" s="5" t="s">
        <v>14</v>
      </c>
      <c r="K1649" s="7">
        <v>77.11</v>
      </c>
      <c r="L1649" s="8">
        <v>3</v>
      </c>
      <c r="M1649" s="9"/>
    </row>
    <row r="1650" s="1" customFormat="1" ht="20.1" customHeight="1" spans="1:13">
      <c r="A1650" s="4" t="str">
        <f>"37502022030114213823822"</f>
        <v>37502022030114213823822</v>
      </c>
      <c r="B1650" s="4" t="s">
        <v>1613</v>
      </c>
      <c r="C1650" s="4" t="s">
        <v>1617</v>
      </c>
      <c r="D1650" s="4" t="str">
        <f>"20220385611"</f>
        <v>20220385611</v>
      </c>
      <c r="E1650" s="4" t="str">
        <f t="shared" si="321"/>
        <v>56</v>
      </c>
      <c r="F1650" s="4" t="str">
        <f>"11"</f>
        <v>11</v>
      </c>
      <c r="G1650" s="5">
        <v>75.41</v>
      </c>
      <c r="H1650" s="5" t="s">
        <v>14</v>
      </c>
      <c r="I1650" s="5">
        <v>76.7</v>
      </c>
      <c r="J1650" s="5" t="s">
        <v>14</v>
      </c>
      <c r="K1650" s="7">
        <v>76.31</v>
      </c>
      <c r="L1650" s="8">
        <v>4</v>
      </c>
      <c r="M1650" s="9"/>
    </row>
    <row r="1651" s="1" customFormat="1" ht="20.1" customHeight="1" spans="1:13">
      <c r="A1651" s="4" t="str">
        <f>"37502022022608535918662"</f>
        <v>37502022022608535918662</v>
      </c>
      <c r="B1651" s="4" t="s">
        <v>1613</v>
      </c>
      <c r="C1651" s="4" t="s">
        <v>1618</v>
      </c>
      <c r="D1651" s="4" t="str">
        <f>"20220385526"</f>
        <v>20220385526</v>
      </c>
      <c r="E1651" s="4" t="str">
        <f>"55"</f>
        <v>55</v>
      </c>
      <c r="F1651" s="4" t="str">
        <f>"26"</f>
        <v>26</v>
      </c>
      <c r="G1651" s="5">
        <v>68.77</v>
      </c>
      <c r="H1651" s="5" t="s">
        <v>14</v>
      </c>
      <c r="I1651" s="5">
        <v>78.7</v>
      </c>
      <c r="J1651" s="5" t="s">
        <v>14</v>
      </c>
      <c r="K1651" s="7">
        <v>75.72</v>
      </c>
      <c r="L1651" s="8">
        <v>5</v>
      </c>
      <c r="M1651" s="9"/>
    </row>
    <row r="1652" s="1" customFormat="1" ht="20.1" customHeight="1" spans="1:13">
      <c r="A1652" s="4" t="str">
        <f>"37502022022711384020031"</f>
        <v>37502022022711384020031</v>
      </c>
      <c r="B1652" s="4" t="s">
        <v>1613</v>
      </c>
      <c r="C1652" s="4" t="s">
        <v>1619</v>
      </c>
      <c r="D1652" s="4" t="str">
        <f>"20220385605"</f>
        <v>20220385605</v>
      </c>
      <c r="E1652" s="4" t="str">
        <f t="shared" ref="E1652:E1654" si="322">"56"</f>
        <v>56</v>
      </c>
      <c r="F1652" s="4" t="str">
        <f>"05"</f>
        <v>05</v>
      </c>
      <c r="G1652" s="5">
        <v>75.95</v>
      </c>
      <c r="H1652" s="5" t="s">
        <v>14</v>
      </c>
      <c r="I1652" s="5">
        <v>75.2</v>
      </c>
      <c r="J1652" s="5" t="s">
        <v>14</v>
      </c>
      <c r="K1652" s="7">
        <v>75.43</v>
      </c>
      <c r="L1652" s="8">
        <v>6</v>
      </c>
      <c r="M1652" s="9"/>
    </row>
    <row r="1653" s="1" customFormat="1" ht="20.1" customHeight="1" spans="1:13">
      <c r="A1653" s="4" t="str">
        <f>"37502022030120363524474"</f>
        <v>37502022030120363524474</v>
      </c>
      <c r="B1653" s="4" t="s">
        <v>1613</v>
      </c>
      <c r="C1653" s="4" t="s">
        <v>1620</v>
      </c>
      <c r="D1653" s="4" t="str">
        <f>"20220385603"</f>
        <v>20220385603</v>
      </c>
      <c r="E1653" s="4" t="str">
        <f t="shared" si="322"/>
        <v>56</v>
      </c>
      <c r="F1653" s="4" t="str">
        <f>"03"</f>
        <v>03</v>
      </c>
      <c r="G1653" s="5">
        <v>70.5</v>
      </c>
      <c r="H1653" s="5" t="s">
        <v>14</v>
      </c>
      <c r="I1653" s="5">
        <v>75.3</v>
      </c>
      <c r="J1653" s="5" t="s">
        <v>14</v>
      </c>
      <c r="K1653" s="7">
        <v>73.86</v>
      </c>
      <c r="L1653" s="8">
        <v>7</v>
      </c>
      <c r="M1653" s="9"/>
    </row>
    <row r="1654" s="1" customFormat="1" ht="20.1" customHeight="1" spans="1:13">
      <c r="A1654" s="4" t="str">
        <f>"37502022022609252918711"</f>
        <v>37502022022609252918711</v>
      </c>
      <c r="B1654" s="4" t="s">
        <v>1613</v>
      </c>
      <c r="C1654" s="4" t="s">
        <v>1621</v>
      </c>
      <c r="D1654" s="4" t="str">
        <f>"20220385607"</f>
        <v>20220385607</v>
      </c>
      <c r="E1654" s="4" t="str">
        <f t="shared" si="322"/>
        <v>56</v>
      </c>
      <c r="F1654" s="4" t="str">
        <f>"07"</f>
        <v>07</v>
      </c>
      <c r="G1654" s="5">
        <v>61.59</v>
      </c>
      <c r="H1654" s="5" t="s">
        <v>14</v>
      </c>
      <c r="I1654" s="5">
        <v>76.5</v>
      </c>
      <c r="J1654" s="5" t="s">
        <v>14</v>
      </c>
      <c r="K1654" s="7">
        <v>72.03</v>
      </c>
      <c r="L1654" s="8">
        <v>8</v>
      </c>
      <c r="M1654" s="9"/>
    </row>
    <row r="1655" s="1" customFormat="1" ht="20.1" customHeight="1" spans="1:13">
      <c r="A1655" s="4" t="str">
        <f>"37502022030121065924548"</f>
        <v>37502022030121065924548</v>
      </c>
      <c r="B1655" s="4" t="s">
        <v>1613</v>
      </c>
      <c r="C1655" s="4" t="s">
        <v>1622</v>
      </c>
      <c r="D1655" s="4" t="str">
        <f>"20220385530"</f>
        <v>20220385530</v>
      </c>
      <c r="E1655" s="4" t="str">
        <f>"55"</f>
        <v>55</v>
      </c>
      <c r="F1655" s="4" t="str">
        <f>"30"</f>
        <v>30</v>
      </c>
      <c r="G1655" s="5">
        <v>73.83</v>
      </c>
      <c r="H1655" s="5" t="s">
        <v>14</v>
      </c>
      <c r="I1655" s="5">
        <v>71.1</v>
      </c>
      <c r="J1655" s="5" t="s">
        <v>14</v>
      </c>
      <c r="K1655" s="7">
        <v>71.92</v>
      </c>
      <c r="L1655" s="8">
        <v>9</v>
      </c>
      <c r="M1655" s="9"/>
    </row>
    <row r="1656" s="1" customFormat="1" ht="20.1" customHeight="1" spans="1:13">
      <c r="A1656" s="4" t="str">
        <f>"37502022030119525624403"</f>
        <v>37502022030119525624403</v>
      </c>
      <c r="B1656" s="4" t="s">
        <v>1613</v>
      </c>
      <c r="C1656" s="4" t="s">
        <v>1623</v>
      </c>
      <c r="D1656" s="4" t="str">
        <f>"20220385601"</f>
        <v>20220385601</v>
      </c>
      <c r="E1656" s="4" t="str">
        <f t="shared" ref="E1656:E1659" si="323">"56"</f>
        <v>56</v>
      </c>
      <c r="F1656" s="4" t="str">
        <f>"01"</f>
        <v>01</v>
      </c>
      <c r="G1656" s="5">
        <v>72.67</v>
      </c>
      <c r="H1656" s="5" t="s">
        <v>14</v>
      </c>
      <c r="I1656" s="5">
        <v>71</v>
      </c>
      <c r="J1656" s="5" t="s">
        <v>14</v>
      </c>
      <c r="K1656" s="7">
        <v>71.5</v>
      </c>
      <c r="L1656" s="8">
        <v>10</v>
      </c>
      <c r="M1656" s="9"/>
    </row>
    <row r="1657" s="1" customFormat="1" ht="20.1" customHeight="1" spans="1:13">
      <c r="A1657" s="4" t="str">
        <f>"37502022030112381523651"</f>
        <v>37502022030112381523651</v>
      </c>
      <c r="B1657" s="4" t="s">
        <v>1613</v>
      </c>
      <c r="C1657" s="4" t="s">
        <v>1624</v>
      </c>
      <c r="D1657" s="4" t="str">
        <f>"20220385604"</f>
        <v>20220385604</v>
      </c>
      <c r="E1657" s="4" t="str">
        <f t="shared" si="323"/>
        <v>56</v>
      </c>
      <c r="F1657" s="4" t="str">
        <f>"04"</f>
        <v>04</v>
      </c>
      <c r="G1657" s="5">
        <v>63.32</v>
      </c>
      <c r="H1657" s="5" t="s">
        <v>14</v>
      </c>
      <c r="I1657" s="5">
        <v>74</v>
      </c>
      <c r="J1657" s="5" t="s">
        <v>14</v>
      </c>
      <c r="K1657" s="7">
        <v>70.8</v>
      </c>
      <c r="L1657" s="8">
        <v>11</v>
      </c>
      <c r="M1657" s="9"/>
    </row>
    <row r="1658" s="1" customFormat="1" ht="20.1" customHeight="1" spans="1:13">
      <c r="A1658" s="4" t="str">
        <f>"37502022022617044419422"</f>
        <v>37502022022617044419422</v>
      </c>
      <c r="B1658" s="4" t="s">
        <v>1613</v>
      </c>
      <c r="C1658" s="4" t="s">
        <v>1625</v>
      </c>
      <c r="D1658" s="4" t="str">
        <f>"20220385608"</f>
        <v>20220385608</v>
      </c>
      <c r="E1658" s="4" t="str">
        <f t="shared" si="323"/>
        <v>56</v>
      </c>
      <c r="F1658" s="4" t="str">
        <f>"08"</f>
        <v>08</v>
      </c>
      <c r="G1658" s="5">
        <v>66.79</v>
      </c>
      <c r="H1658" s="5" t="s">
        <v>14</v>
      </c>
      <c r="I1658" s="5">
        <v>68.6</v>
      </c>
      <c r="J1658" s="5" t="s">
        <v>14</v>
      </c>
      <c r="K1658" s="7">
        <v>68.06</v>
      </c>
      <c r="L1658" s="8">
        <v>12</v>
      </c>
      <c r="M1658" s="9"/>
    </row>
    <row r="1659" s="1" customFormat="1" ht="20.1" customHeight="1" spans="1:13">
      <c r="A1659" s="4" t="str">
        <f>"37502022022612574919132"</f>
        <v>37502022022612574919132</v>
      </c>
      <c r="B1659" s="4" t="s">
        <v>1613</v>
      </c>
      <c r="C1659" s="4" t="s">
        <v>1626</v>
      </c>
      <c r="D1659" s="4" t="str">
        <f>"20220385612"</f>
        <v>20220385612</v>
      </c>
      <c r="E1659" s="4" t="str">
        <f t="shared" si="323"/>
        <v>56</v>
      </c>
      <c r="F1659" s="4" t="str">
        <f>"12"</f>
        <v>12</v>
      </c>
      <c r="G1659" s="5">
        <v>57.13</v>
      </c>
      <c r="H1659" s="5" t="s">
        <v>14</v>
      </c>
      <c r="I1659" s="5">
        <v>69</v>
      </c>
      <c r="J1659" s="5" t="s">
        <v>14</v>
      </c>
      <c r="K1659" s="7">
        <v>65.44</v>
      </c>
      <c r="L1659" s="8">
        <v>13</v>
      </c>
      <c r="M1659" s="9"/>
    </row>
    <row r="1660" s="1" customFormat="1" ht="20.1" customHeight="1" spans="1:13">
      <c r="A1660" s="4" t="str">
        <f>"37502022022617000719420"</f>
        <v>37502022022617000719420</v>
      </c>
      <c r="B1660" s="4" t="s">
        <v>1613</v>
      </c>
      <c r="C1660" s="4" t="s">
        <v>1627</v>
      </c>
      <c r="D1660" s="4" t="str">
        <f>"20220385529"</f>
        <v>20220385529</v>
      </c>
      <c r="E1660" s="4" t="str">
        <f t="shared" ref="E1660:E1662" si="324">"55"</f>
        <v>55</v>
      </c>
      <c r="F1660" s="4" t="str">
        <f>"29"</f>
        <v>29</v>
      </c>
      <c r="G1660" s="5">
        <v>66.3</v>
      </c>
      <c r="H1660" s="5" t="s">
        <v>14</v>
      </c>
      <c r="I1660" s="5">
        <v>64.6</v>
      </c>
      <c r="J1660" s="5" t="s">
        <v>14</v>
      </c>
      <c r="K1660" s="7">
        <v>65.11</v>
      </c>
      <c r="L1660" s="8">
        <v>14</v>
      </c>
      <c r="M1660" s="9"/>
    </row>
    <row r="1661" s="1" customFormat="1" ht="20.1" customHeight="1" spans="1:13">
      <c r="A1661" s="4" t="str">
        <f>"37502022030214133925364"</f>
        <v>37502022030214133925364</v>
      </c>
      <c r="B1661" s="4" t="s">
        <v>1613</v>
      </c>
      <c r="C1661" s="4" t="s">
        <v>1628</v>
      </c>
      <c r="D1661" s="4" t="str">
        <f>"20220385528"</f>
        <v>20220385528</v>
      </c>
      <c r="E1661" s="4" t="str">
        <f t="shared" si="324"/>
        <v>55</v>
      </c>
      <c r="F1661" s="4" t="str">
        <f>"28"</f>
        <v>28</v>
      </c>
      <c r="G1661" s="5">
        <v>59.54</v>
      </c>
      <c r="H1661" s="5" t="s">
        <v>14</v>
      </c>
      <c r="I1661" s="5">
        <v>65.7</v>
      </c>
      <c r="J1661" s="5" t="s">
        <v>14</v>
      </c>
      <c r="K1661" s="7">
        <v>63.85</v>
      </c>
      <c r="L1661" s="8">
        <v>15</v>
      </c>
      <c r="M1661" s="9"/>
    </row>
    <row r="1662" s="1" customFormat="1" ht="20.1" customHeight="1" spans="1:13">
      <c r="A1662" s="4" t="str">
        <f>"37502022030119425324385"</f>
        <v>37502022030119425324385</v>
      </c>
      <c r="B1662" s="4" t="s">
        <v>1613</v>
      </c>
      <c r="C1662" s="4" t="s">
        <v>1629</v>
      </c>
      <c r="D1662" s="4" t="str">
        <f>"20220385525"</f>
        <v>20220385525</v>
      </c>
      <c r="E1662" s="4" t="str">
        <f t="shared" si="324"/>
        <v>55</v>
      </c>
      <c r="F1662" s="4" t="str">
        <f>"25"</f>
        <v>25</v>
      </c>
      <c r="G1662" s="5">
        <v>63.4</v>
      </c>
      <c r="H1662" s="5" t="s">
        <v>14</v>
      </c>
      <c r="I1662" s="5">
        <v>58.9</v>
      </c>
      <c r="J1662" s="5" t="s">
        <v>14</v>
      </c>
      <c r="K1662" s="7">
        <v>60.25</v>
      </c>
      <c r="L1662" s="8">
        <v>16</v>
      </c>
      <c r="M1662" s="9"/>
    </row>
    <row r="1663" s="1" customFormat="1" ht="20.1" customHeight="1" spans="1:13">
      <c r="A1663" s="4" t="str">
        <f>"37502022030118545224282"</f>
        <v>37502022030118545224282</v>
      </c>
      <c r="B1663" s="4" t="s">
        <v>1613</v>
      </c>
      <c r="C1663" s="4" t="s">
        <v>1630</v>
      </c>
      <c r="D1663" s="4" t="str">
        <f>"20220385602"</f>
        <v>20220385602</v>
      </c>
      <c r="E1663" s="4" t="str">
        <f t="shared" ref="E1663:E1668" si="325">"56"</f>
        <v>56</v>
      </c>
      <c r="F1663" s="4" t="str">
        <f>"02"</f>
        <v>02</v>
      </c>
      <c r="G1663" s="5">
        <v>0</v>
      </c>
      <c r="H1663" s="5" t="s">
        <v>74</v>
      </c>
      <c r="I1663" s="5">
        <v>0</v>
      </c>
      <c r="J1663" s="5" t="s">
        <v>74</v>
      </c>
      <c r="K1663" s="7">
        <v>0</v>
      </c>
      <c r="L1663" s="8">
        <v>17</v>
      </c>
      <c r="M1663" s="9"/>
    </row>
    <row r="1664" s="1" customFormat="1" ht="20.1" customHeight="1" spans="1:13">
      <c r="A1664" s="4" t="str">
        <f>"37502022030208333624834"</f>
        <v>37502022030208333624834</v>
      </c>
      <c r="B1664" s="4" t="s">
        <v>1613</v>
      </c>
      <c r="C1664" s="4" t="s">
        <v>1631</v>
      </c>
      <c r="D1664" s="4" t="str">
        <f>"20220385609"</f>
        <v>20220385609</v>
      </c>
      <c r="E1664" s="4" t="str">
        <f t="shared" si="325"/>
        <v>56</v>
      </c>
      <c r="F1664" s="4" t="str">
        <f>"09"</f>
        <v>09</v>
      </c>
      <c r="G1664" s="5">
        <v>0</v>
      </c>
      <c r="H1664" s="5" t="s">
        <v>74</v>
      </c>
      <c r="I1664" s="5">
        <v>0</v>
      </c>
      <c r="J1664" s="5" t="s">
        <v>74</v>
      </c>
      <c r="K1664" s="7">
        <v>0</v>
      </c>
      <c r="L1664" s="8">
        <v>17</v>
      </c>
      <c r="M1664" s="9"/>
    </row>
    <row r="1665" s="1" customFormat="1" ht="20.1" customHeight="1" spans="1:13">
      <c r="A1665" s="4" t="str">
        <f>"37502022030210590625082"</f>
        <v>37502022030210590625082</v>
      </c>
      <c r="B1665" s="4" t="s">
        <v>1613</v>
      </c>
      <c r="C1665" s="4" t="s">
        <v>1632</v>
      </c>
      <c r="D1665" s="4" t="str">
        <f>"20220385613"</f>
        <v>20220385613</v>
      </c>
      <c r="E1665" s="4" t="str">
        <f t="shared" si="325"/>
        <v>56</v>
      </c>
      <c r="F1665" s="4" t="str">
        <f>"13"</f>
        <v>13</v>
      </c>
      <c r="G1665" s="5">
        <v>0</v>
      </c>
      <c r="H1665" s="5" t="s">
        <v>74</v>
      </c>
      <c r="I1665" s="5">
        <v>0</v>
      </c>
      <c r="J1665" s="5" t="s">
        <v>74</v>
      </c>
      <c r="K1665" s="7">
        <v>0</v>
      </c>
      <c r="L1665" s="8">
        <v>17</v>
      </c>
      <c r="M1665" s="9"/>
    </row>
    <row r="1666" s="1" customFormat="1" ht="20.1" customHeight="1" spans="1:13">
      <c r="A1666" s="4" t="str">
        <f>"37502022022719553120728"</f>
        <v>37502022022719553120728</v>
      </c>
      <c r="B1666" s="4" t="s">
        <v>1633</v>
      </c>
      <c r="C1666" s="4" t="s">
        <v>1634</v>
      </c>
      <c r="D1666" s="4" t="str">
        <f>"20220395625"</f>
        <v>20220395625</v>
      </c>
      <c r="E1666" s="4" t="str">
        <f t="shared" si="325"/>
        <v>56</v>
      </c>
      <c r="F1666" s="4" t="str">
        <f>"25"</f>
        <v>25</v>
      </c>
      <c r="G1666" s="5">
        <v>79.03</v>
      </c>
      <c r="H1666" s="5" t="s">
        <v>14</v>
      </c>
      <c r="I1666" s="5">
        <v>83.3</v>
      </c>
      <c r="J1666" s="5" t="s">
        <v>14</v>
      </c>
      <c r="K1666" s="7">
        <v>82.02</v>
      </c>
      <c r="L1666" s="8">
        <v>1</v>
      </c>
      <c r="M1666" s="9"/>
    </row>
    <row r="1667" s="1" customFormat="1" ht="20.1" customHeight="1" spans="1:13">
      <c r="A1667" s="4" t="str">
        <f>"37502022022809350921476"</f>
        <v>37502022022809350921476</v>
      </c>
      <c r="B1667" s="4" t="s">
        <v>1633</v>
      </c>
      <c r="C1667" s="4" t="s">
        <v>1635</v>
      </c>
      <c r="D1667" s="4" t="str">
        <f>"20220395618"</f>
        <v>20220395618</v>
      </c>
      <c r="E1667" s="4" t="str">
        <f t="shared" si="325"/>
        <v>56</v>
      </c>
      <c r="F1667" s="4" t="str">
        <f>"18"</f>
        <v>18</v>
      </c>
      <c r="G1667" s="5">
        <v>76.83</v>
      </c>
      <c r="H1667" s="5" t="s">
        <v>14</v>
      </c>
      <c r="I1667" s="5">
        <v>83.9</v>
      </c>
      <c r="J1667" s="5" t="s">
        <v>14</v>
      </c>
      <c r="K1667" s="7">
        <v>81.78</v>
      </c>
      <c r="L1667" s="8">
        <v>2</v>
      </c>
      <c r="M1667" s="9"/>
    </row>
    <row r="1668" s="1" customFormat="1" ht="20.1" customHeight="1" spans="1:13">
      <c r="A1668" s="4" t="str">
        <f>"37502022022710330419957"</f>
        <v>37502022022710330419957</v>
      </c>
      <c r="B1668" s="4" t="s">
        <v>1633</v>
      </c>
      <c r="C1668" s="4" t="s">
        <v>1636</v>
      </c>
      <c r="D1668" s="4" t="str">
        <f>"20220395614"</f>
        <v>20220395614</v>
      </c>
      <c r="E1668" s="4" t="str">
        <f t="shared" si="325"/>
        <v>56</v>
      </c>
      <c r="F1668" s="4" t="str">
        <f>"14"</f>
        <v>14</v>
      </c>
      <c r="G1668" s="5">
        <v>77.85</v>
      </c>
      <c r="H1668" s="5" t="s">
        <v>14</v>
      </c>
      <c r="I1668" s="5">
        <v>83</v>
      </c>
      <c r="J1668" s="5" t="s">
        <v>14</v>
      </c>
      <c r="K1668" s="7">
        <v>81.46</v>
      </c>
      <c r="L1668" s="8">
        <v>3</v>
      </c>
      <c r="M1668" s="9"/>
    </row>
    <row r="1669" s="1" customFormat="1" ht="20.1" customHeight="1" spans="1:13">
      <c r="A1669" s="4" t="str">
        <f>"37502022030216530825578"</f>
        <v>37502022030216530825578</v>
      </c>
      <c r="B1669" s="4" t="s">
        <v>1633</v>
      </c>
      <c r="C1669" s="4" t="s">
        <v>1637</v>
      </c>
      <c r="D1669" s="4" t="str">
        <f>"20220395715"</f>
        <v>20220395715</v>
      </c>
      <c r="E1669" s="4" t="str">
        <f t="shared" ref="E1669:E1676" si="326">"57"</f>
        <v>57</v>
      </c>
      <c r="F1669" s="4" t="str">
        <f>"15"</f>
        <v>15</v>
      </c>
      <c r="G1669" s="5">
        <v>73.11</v>
      </c>
      <c r="H1669" s="5" t="s">
        <v>14</v>
      </c>
      <c r="I1669" s="5">
        <v>84.3</v>
      </c>
      <c r="J1669" s="5" t="s">
        <v>14</v>
      </c>
      <c r="K1669" s="7">
        <v>80.94</v>
      </c>
      <c r="L1669" s="8">
        <v>4</v>
      </c>
      <c r="M1669" s="9"/>
    </row>
    <row r="1670" s="1" customFormat="1" ht="20.1" customHeight="1" spans="1:13">
      <c r="A1670" s="4" t="str">
        <f>"37502022022611492719038"</f>
        <v>37502022022611492719038</v>
      </c>
      <c r="B1670" s="4" t="s">
        <v>1633</v>
      </c>
      <c r="C1670" s="4" t="s">
        <v>1638</v>
      </c>
      <c r="D1670" s="4" t="str">
        <f>"20220395718"</f>
        <v>20220395718</v>
      </c>
      <c r="E1670" s="4" t="str">
        <f t="shared" si="326"/>
        <v>57</v>
      </c>
      <c r="F1670" s="4" t="str">
        <f>"18"</f>
        <v>18</v>
      </c>
      <c r="G1670" s="5">
        <v>78.49</v>
      </c>
      <c r="H1670" s="5" t="s">
        <v>14</v>
      </c>
      <c r="I1670" s="5">
        <v>81.6</v>
      </c>
      <c r="J1670" s="5" t="s">
        <v>14</v>
      </c>
      <c r="K1670" s="7">
        <v>80.67</v>
      </c>
      <c r="L1670" s="8">
        <v>5</v>
      </c>
      <c r="M1670" s="9"/>
    </row>
    <row r="1671" s="1" customFormat="1" ht="20.1" customHeight="1" spans="1:13">
      <c r="A1671" s="4" t="str">
        <f>"37502022030110003323328"</f>
        <v>37502022030110003323328</v>
      </c>
      <c r="B1671" s="4" t="s">
        <v>1633</v>
      </c>
      <c r="C1671" s="4" t="s">
        <v>1639</v>
      </c>
      <c r="D1671" s="4" t="str">
        <f>"20220395707"</f>
        <v>20220395707</v>
      </c>
      <c r="E1671" s="4" t="str">
        <f t="shared" si="326"/>
        <v>57</v>
      </c>
      <c r="F1671" s="4" t="str">
        <f>"07"</f>
        <v>07</v>
      </c>
      <c r="G1671" s="5">
        <v>78.46</v>
      </c>
      <c r="H1671" s="5" t="s">
        <v>14</v>
      </c>
      <c r="I1671" s="5">
        <v>79.2</v>
      </c>
      <c r="J1671" s="5" t="s">
        <v>14</v>
      </c>
      <c r="K1671" s="7">
        <v>78.98</v>
      </c>
      <c r="L1671" s="8">
        <v>6</v>
      </c>
      <c r="M1671" s="9"/>
    </row>
    <row r="1672" s="1" customFormat="1" ht="20.1" customHeight="1" spans="1:13">
      <c r="A1672" s="4" t="str">
        <f>"37502022022710113319934"</f>
        <v>37502022022710113319934</v>
      </c>
      <c r="B1672" s="4" t="s">
        <v>1633</v>
      </c>
      <c r="C1672" s="4" t="s">
        <v>1640</v>
      </c>
      <c r="D1672" s="4" t="str">
        <f>"20220395701"</f>
        <v>20220395701</v>
      </c>
      <c r="E1672" s="4" t="str">
        <f t="shared" si="326"/>
        <v>57</v>
      </c>
      <c r="F1672" s="4" t="str">
        <f>"01"</f>
        <v>01</v>
      </c>
      <c r="G1672" s="5">
        <v>77.75</v>
      </c>
      <c r="H1672" s="5" t="s">
        <v>14</v>
      </c>
      <c r="I1672" s="5">
        <v>76.2</v>
      </c>
      <c r="J1672" s="5" t="s">
        <v>14</v>
      </c>
      <c r="K1672" s="7">
        <v>76.67</v>
      </c>
      <c r="L1672" s="8">
        <v>7</v>
      </c>
      <c r="M1672" s="9"/>
    </row>
    <row r="1673" s="1" customFormat="1" ht="20.1" customHeight="1" spans="1:13">
      <c r="A1673" s="4" t="str">
        <f>"37502022022719454920709"</f>
        <v>37502022022719454920709</v>
      </c>
      <c r="B1673" s="4" t="s">
        <v>1633</v>
      </c>
      <c r="C1673" s="4" t="s">
        <v>1641</v>
      </c>
      <c r="D1673" s="4" t="str">
        <f>"20220395709"</f>
        <v>20220395709</v>
      </c>
      <c r="E1673" s="4" t="str">
        <f t="shared" si="326"/>
        <v>57</v>
      </c>
      <c r="F1673" s="4" t="str">
        <f>"09"</f>
        <v>09</v>
      </c>
      <c r="G1673" s="5">
        <v>69.98</v>
      </c>
      <c r="H1673" s="5" t="s">
        <v>14</v>
      </c>
      <c r="I1673" s="5">
        <v>79.4</v>
      </c>
      <c r="J1673" s="5" t="s">
        <v>14</v>
      </c>
      <c r="K1673" s="7">
        <v>76.57</v>
      </c>
      <c r="L1673" s="8">
        <v>8</v>
      </c>
      <c r="M1673" s="9"/>
    </row>
    <row r="1674" s="1" customFormat="1" ht="20.1" customHeight="1" spans="1:13">
      <c r="A1674" s="4" t="str">
        <f>"37502022030218500625744"</f>
        <v>37502022030218500625744</v>
      </c>
      <c r="B1674" s="4" t="s">
        <v>1633</v>
      </c>
      <c r="C1674" s="4" t="s">
        <v>1642</v>
      </c>
      <c r="D1674" s="4" t="str">
        <f>"20220395714"</f>
        <v>20220395714</v>
      </c>
      <c r="E1674" s="4" t="str">
        <f t="shared" si="326"/>
        <v>57</v>
      </c>
      <c r="F1674" s="4" t="str">
        <f>"14"</f>
        <v>14</v>
      </c>
      <c r="G1674" s="5">
        <v>77.51</v>
      </c>
      <c r="H1674" s="5" t="s">
        <v>14</v>
      </c>
      <c r="I1674" s="5">
        <v>74.6</v>
      </c>
      <c r="J1674" s="5" t="s">
        <v>14</v>
      </c>
      <c r="K1674" s="7">
        <v>75.47</v>
      </c>
      <c r="L1674" s="8">
        <v>9</v>
      </c>
      <c r="M1674" s="9"/>
    </row>
    <row r="1675" s="1" customFormat="1" ht="20.1" customHeight="1" spans="1:13">
      <c r="A1675" s="4" t="str">
        <f>"37502022022807293521272"</f>
        <v>37502022022807293521272</v>
      </c>
      <c r="B1675" s="4" t="s">
        <v>1633</v>
      </c>
      <c r="C1675" s="4" t="s">
        <v>1643</v>
      </c>
      <c r="D1675" s="4" t="str">
        <f>"20220395710"</f>
        <v>20220395710</v>
      </c>
      <c r="E1675" s="4" t="str">
        <f t="shared" si="326"/>
        <v>57</v>
      </c>
      <c r="F1675" s="4" t="str">
        <f>"10"</f>
        <v>10</v>
      </c>
      <c r="G1675" s="5">
        <v>74.6</v>
      </c>
      <c r="H1675" s="5" t="s">
        <v>14</v>
      </c>
      <c r="I1675" s="5">
        <v>75.4</v>
      </c>
      <c r="J1675" s="5" t="s">
        <v>14</v>
      </c>
      <c r="K1675" s="7">
        <v>75.16</v>
      </c>
      <c r="L1675" s="8">
        <v>10</v>
      </c>
      <c r="M1675" s="9"/>
    </row>
    <row r="1676" s="1" customFormat="1" ht="20.1" customHeight="1" spans="1:13">
      <c r="A1676" s="4" t="str">
        <f>"37502022030122244124680"</f>
        <v>37502022030122244124680</v>
      </c>
      <c r="B1676" s="4" t="s">
        <v>1633</v>
      </c>
      <c r="C1676" s="4" t="s">
        <v>1644</v>
      </c>
      <c r="D1676" s="4" t="str">
        <f>"20220395711"</f>
        <v>20220395711</v>
      </c>
      <c r="E1676" s="4" t="str">
        <f t="shared" si="326"/>
        <v>57</v>
      </c>
      <c r="F1676" s="4" t="str">
        <f>"11"</f>
        <v>11</v>
      </c>
      <c r="G1676" s="5">
        <v>67.33</v>
      </c>
      <c r="H1676" s="5" t="s">
        <v>14</v>
      </c>
      <c r="I1676" s="5">
        <v>76.3</v>
      </c>
      <c r="J1676" s="5" t="s">
        <v>14</v>
      </c>
      <c r="K1676" s="7">
        <v>73.61</v>
      </c>
      <c r="L1676" s="8">
        <v>11</v>
      </c>
      <c r="M1676" s="9"/>
    </row>
    <row r="1677" s="1" customFormat="1" ht="20.1" customHeight="1" spans="1:13">
      <c r="A1677" s="4" t="str">
        <f>"37502022030112385423653"</f>
        <v>37502022030112385423653</v>
      </c>
      <c r="B1677" s="4" t="s">
        <v>1633</v>
      </c>
      <c r="C1677" s="4" t="s">
        <v>1645</v>
      </c>
      <c r="D1677" s="4" t="str">
        <f>"20220395630"</f>
        <v>20220395630</v>
      </c>
      <c r="E1677" s="4" t="str">
        <f>"56"</f>
        <v>56</v>
      </c>
      <c r="F1677" s="4" t="str">
        <f>"30"</f>
        <v>30</v>
      </c>
      <c r="G1677" s="5">
        <v>73.88</v>
      </c>
      <c r="H1677" s="5" t="s">
        <v>14</v>
      </c>
      <c r="I1677" s="5">
        <v>73.1</v>
      </c>
      <c r="J1677" s="5" t="s">
        <v>14</v>
      </c>
      <c r="K1677" s="7">
        <v>73.33</v>
      </c>
      <c r="L1677" s="8">
        <v>12</v>
      </c>
      <c r="M1677" s="9"/>
    </row>
    <row r="1678" s="1" customFormat="1" ht="20.1" customHeight="1" spans="1:13">
      <c r="A1678" s="4" t="str">
        <f>"37502022030119173424335"</f>
        <v>37502022030119173424335</v>
      </c>
      <c r="B1678" s="4" t="s">
        <v>1633</v>
      </c>
      <c r="C1678" s="4" t="s">
        <v>1646</v>
      </c>
      <c r="D1678" s="4" t="str">
        <f>"20220395706"</f>
        <v>20220395706</v>
      </c>
      <c r="E1678" s="4" t="str">
        <f t="shared" ref="E1678:E1683" si="327">"57"</f>
        <v>57</v>
      </c>
      <c r="F1678" s="4" t="str">
        <f>"06"</f>
        <v>06</v>
      </c>
      <c r="G1678" s="5">
        <v>62.23</v>
      </c>
      <c r="H1678" s="5" t="s">
        <v>14</v>
      </c>
      <c r="I1678" s="5">
        <v>77.4</v>
      </c>
      <c r="J1678" s="5" t="s">
        <v>14</v>
      </c>
      <c r="K1678" s="7">
        <v>72.85</v>
      </c>
      <c r="L1678" s="8">
        <v>13</v>
      </c>
      <c r="M1678" s="9"/>
    </row>
    <row r="1679" s="1" customFormat="1" ht="20.1" customHeight="1" spans="1:13">
      <c r="A1679" s="4" t="str">
        <f>"37502022022820274922956"</f>
        <v>37502022022820274922956</v>
      </c>
      <c r="B1679" s="4" t="s">
        <v>1633</v>
      </c>
      <c r="C1679" s="4" t="s">
        <v>1647</v>
      </c>
      <c r="D1679" s="4" t="str">
        <f>"20220395702"</f>
        <v>20220395702</v>
      </c>
      <c r="E1679" s="4" t="str">
        <f t="shared" si="327"/>
        <v>57</v>
      </c>
      <c r="F1679" s="4" t="str">
        <f>"02"</f>
        <v>02</v>
      </c>
      <c r="G1679" s="5">
        <v>68.1</v>
      </c>
      <c r="H1679" s="5" t="s">
        <v>14</v>
      </c>
      <c r="I1679" s="5">
        <v>74.4</v>
      </c>
      <c r="J1679" s="5" t="s">
        <v>14</v>
      </c>
      <c r="K1679" s="7">
        <v>72.51</v>
      </c>
      <c r="L1679" s="8">
        <v>14</v>
      </c>
      <c r="M1679" s="9"/>
    </row>
    <row r="1680" s="1" customFormat="1" ht="20.1" customHeight="1" spans="1:13">
      <c r="A1680" s="4" t="str">
        <f>"37502022030112422023658"</f>
        <v>37502022030112422023658</v>
      </c>
      <c r="B1680" s="4" t="s">
        <v>1633</v>
      </c>
      <c r="C1680" s="4" t="s">
        <v>1648</v>
      </c>
      <c r="D1680" s="4" t="str">
        <f>"20220395703"</f>
        <v>20220395703</v>
      </c>
      <c r="E1680" s="4" t="str">
        <f t="shared" si="327"/>
        <v>57</v>
      </c>
      <c r="F1680" s="4" t="str">
        <f>"03"</f>
        <v>03</v>
      </c>
      <c r="G1680" s="5">
        <v>68.19</v>
      </c>
      <c r="H1680" s="5" t="s">
        <v>14</v>
      </c>
      <c r="I1680" s="5">
        <v>73.7</v>
      </c>
      <c r="J1680" s="5" t="s">
        <v>14</v>
      </c>
      <c r="K1680" s="7">
        <v>72.05</v>
      </c>
      <c r="L1680" s="8">
        <v>15</v>
      </c>
      <c r="M1680" s="9"/>
    </row>
    <row r="1681" s="1" customFormat="1" ht="20.1" customHeight="1" spans="1:13">
      <c r="A1681" s="4" t="str">
        <f>"37502022030109033923181"</f>
        <v>37502022030109033923181</v>
      </c>
      <c r="B1681" s="4" t="s">
        <v>1633</v>
      </c>
      <c r="C1681" s="4" t="s">
        <v>1649</v>
      </c>
      <c r="D1681" s="4" t="str">
        <f>"20220395719"</f>
        <v>20220395719</v>
      </c>
      <c r="E1681" s="4" t="str">
        <f t="shared" si="327"/>
        <v>57</v>
      </c>
      <c r="F1681" s="4" t="str">
        <f>"19"</f>
        <v>19</v>
      </c>
      <c r="G1681" s="5">
        <v>72.51</v>
      </c>
      <c r="H1681" s="5" t="s">
        <v>14</v>
      </c>
      <c r="I1681" s="5">
        <v>71.6</v>
      </c>
      <c r="J1681" s="5" t="s">
        <v>14</v>
      </c>
      <c r="K1681" s="7">
        <v>71.87</v>
      </c>
      <c r="L1681" s="8">
        <v>16</v>
      </c>
      <c r="M1681" s="9"/>
    </row>
    <row r="1682" s="1" customFormat="1" ht="20.1" customHeight="1" spans="1:13">
      <c r="A1682" s="4" t="str">
        <f>"37502022022721515320986"</f>
        <v>37502022022721515320986</v>
      </c>
      <c r="B1682" s="4" t="s">
        <v>1633</v>
      </c>
      <c r="C1682" s="4" t="s">
        <v>1650</v>
      </c>
      <c r="D1682" s="4" t="str">
        <f>"20220395704"</f>
        <v>20220395704</v>
      </c>
      <c r="E1682" s="4" t="str">
        <f t="shared" si="327"/>
        <v>57</v>
      </c>
      <c r="F1682" s="4" t="str">
        <f>"04"</f>
        <v>04</v>
      </c>
      <c r="G1682" s="5">
        <v>72.55</v>
      </c>
      <c r="H1682" s="5" t="s">
        <v>14</v>
      </c>
      <c r="I1682" s="5">
        <v>71.5</v>
      </c>
      <c r="J1682" s="5" t="s">
        <v>14</v>
      </c>
      <c r="K1682" s="7">
        <v>71.82</v>
      </c>
      <c r="L1682" s="8">
        <v>17</v>
      </c>
      <c r="M1682" s="9"/>
    </row>
    <row r="1683" s="1" customFormat="1" ht="20.1" customHeight="1" spans="1:13">
      <c r="A1683" s="4" t="str">
        <f>"37502022030220574425970"</f>
        <v>37502022030220574425970</v>
      </c>
      <c r="B1683" s="4" t="s">
        <v>1633</v>
      </c>
      <c r="C1683" s="4" t="s">
        <v>1651</v>
      </c>
      <c r="D1683" s="4" t="str">
        <f>"20220395712"</f>
        <v>20220395712</v>
      </c>
      <c r="E1683" s="4" t="str">
        <f t="shared" si="327"/>
        <v>57</v>
      </c>
      <c r="F1683" s="4" t="str">
        <f>"12"</f>
        <v>12</v>
      </c>
      <c r="G1683" s="5">
        <v>67.12</v>
      </c>
      <c r="H1683" s="5" t="s">
        <v>14</v>
      </c>
      <c r="I1683" s="5">
        <v>73.2</v>
      </c>
      <c r="J1683" s="5" t="s">
        <v>14</v>
      </c>
      <c r="K1683" s="7">
        <v>71.38</v>
      </c>
      <c r="L1683" s="8">
        <v>18</v>
      </c>
      <c r="M1683" s="9"/>
    </row>
    <row r="1684" s="1" customFormat="1" ht="20.1" customHeight="1" spans="1:13">
      <c r="A1684" s="4" t="str">
        <f>"37502022030121391824604"</f>
        <v>37502022030121391824604</v>
      </c>
      <c r="B1684" s="4" t="s">
        <v>1633</v>
      </c>
      <c r="C1684" s="4" t="s">
        <v>1652</v>
      </c>
      <c r="D1684" s="4" t="str">
        <f>"20220395628"</f>
        <v>20220395628</v>
      </c>
      <c r="E1684" s="4" t="str">
        <f t="shared" ref="E1684:E1687" si="328">"56"</f>
        <v>56</v>
      </c>
      <c r="F1684" s="4" t="str">
        <f>"28"</f>
        <v>28</v>
      </c>
      <c r="G1684" s="5">
        <v>73.32</v>
      </c>
      <c r="H1684" s="5" t="s">
        <v>14</v>
      </c>
      <c r="I1684" s="5">
        <v>70.2</v>
      </c>
      <c r="J1684" s="5" t="s">
        <v>14</v>
      </c>
      <c r="K1684" s="7">
        <v>71.14</v>
      </c>
      <c r="L1684" s="8">
        <v>19</v>
      </c>
      <c r="M1684" s="9"/>
    </row>
    <row r="1685" s="1" customFormat="1" ht="20.1" customHeight="1" spans="1:13">
      <c r="A1685" s="4" t="str">
        <f>"37502022030108174323123"</f>
        <v>37502022030108174323123</v>
      </c>
      <c r="B1685" s="4" t="s">
        <v>1633</v>
      </c>
      <c r="C1685" s="4" t="s">
        <v>1653</v>
      </c>
      <c r="D1685" s="4" t="str">
        <f>"20220395621"</f>
        <v>20220395621</v>
      </c>
      <c r="E1685" s="4" t="str">
        <f t="shared" si="328"/>
        <v>56</v>
      </c>
      <c r="F1685" s="4" t="str">
        <f>"21"</f>
        <v>21</v>
      </c>
      <c r="G1685" s="5">
        <v>72.52</v>
      </c>
      <c r="H1685" s="5" t="s">
        <v>14</v>
      </c>
      <c r="I1685" s="5">
        <v>70.3</v>
      </c>
      <c r="J1685" s="5" t="s">
        <v>14</v>
      </c>
      <c r="K1685" s="7">
        <v>70.97</v>
      </c>
      <c r="L1685" s="8">
        <v>20</v>
      </c>
      <c r="M1685" s="9"/>
    </row>
    <row r="1686" s="1" customFormat="1" ht="20.1" customHeight="1" spans="1:13">
      <c r="A1686" s="4" t="str">
        <f>"37502022022608215618636"</f>
        <v>37502022022608215618636</v>
      </c>
      <c r="B1686" s="4" t="s">
        <v>1633</v>
      </c>
      <c r="C1686" s="4" t="s">
        <v>1654</v>
      </c>
      <c r="D1686" s="4" t="str">
        <f>"20220395708"</f>
        <v>20220395708</v>
      </c>
      <c r="E1686" s="4" t="str">
        <f t="shared" ref="E1686:E1689" si="329">"57"</f>
        <v>57</v>
      </c>
      <c r="F1686" s="4" t="str">
        <f>"08"</f>
        <v>08</v>
      </c>
      <c r="G1686" s="5">
        <v>71.82</v>
      </c>
      <c r="H1686" s="5" t="s">
        <v>14</v>
      </c>
      <c r="I1686" s="5">
        <v>70.2</v>
      </c>
      <c r="J1686" s="5" t="s">
        <v>14</v>
      </c>
      <c r="K1686" s="7">
        <v>70.69</v>
      </c>
      <c r="L1686" s="8">
        <v>21</v>
      </c>
      <c r="M1686" s="9"/>
    </row>
    <row r="1687" s="1" customFormat="1" ht="20.1" customHeight="1" spans="1:13">
      <c r="A1687" s="4" t="str">
        <f>"37502022030112440323661"</f>
        <v>37502022030112440323661</v>
      </c>
      <c r="B1687" s="4" t="s">
        <v>1633</v>
      </c>
      <c r="C1687" s="4" t="s">
        <v>1655</v>
      </c>
      <c r="D1687" s="4" t="str">
        <f>"20220395622"</f>
        <v>20220395622</v>
      </c>
      <c r="E1687" s="4" t="str">
        <f t="shared" si="328"/>
        <v>56</v>
      </c>
      <c r="F1687" s="4" t="str">
        <f>"22"</f>
        <v>22</v>
      </c>
      <c r="G1687" s="5">
        <v>65.41</v>
      </c>
      <c r="H1687" s="5" t="s">
        <v>14</v>
      </c>
      <c r="I1687" s="5">
        <v>72.5</v>
      </c>
      <c r="J1687" s="5" t="s">
        <v>14</v>
      </c>
      <c r="K1687" s="7">
        <v>70.37</v>
      </c>
      <c r="L1687" s="8">
        <v>22</v>
      </c>
      <c r="M1687" s="9"/>
    </row>
    <row r="1688" s="1" customFormat="1" ht="20.1" customHeight="1" spans="1:13">
      <c r="A1688" s="4" t="str">
        <f>"37502022022618174919492"</f>
        <v>37502022022618174919492</v>
      </c>
      <c r="B1688" s="4" t="s">
        <v>1633</v>
      </c>
      <c r="C1688" s="4" t="s">
        <v>1656</v>
      </c>
      <c r="D1688" s="4" t="str">
        <f>"20220395717"</f>
        <v>20220395717</v>
      </c>
      <c r="E1688" s="4" t="str">
        <f t="shared" si="329"/>
        <v>57</v>
      </c>
      <c r="F1688" s="4" t="str">
        <f>"17"</f>
        <v>17</v>
      </c>
      <c r="G1688" s="5">
        <v>69.11</v>
      </c>
      <c r="H1688" s="5" t="s">
        <v>14</v>
      </c>
      <c r="I1688" s="5">
        <v>69.9</v>
      </c>
      <c r="J1688" s="5" t="s">
        <v>14</v>
      </c>
      <c r="K1688" s="7">
        <v>69.66</v>
      </c>
      <c r="L1688" s="8">
        <v>23</v>
      </c>
      <c r="M1688" s="9"/>
    </row>
    <row r="1689" s="1" customFormat="1" ht="20.1" customHeight="1" spans="1:13">
      <c r="A1689" s="4" t="str">
        <f>"37502022022609291018719"</f>
        <v>37502022022609291018719</v>
      </c>
      <c r="B1689" s="4" t="s">
        <v>1633</v>
      </c>
      <c r="C1689" s="4" t="s">
        <v>1657</v>
      </c>
      <c r="D1689" s="4" t="str">
        <f>"20220395713"</f>
        <v>20220395713</v>
      </c>
      <c r="E1689" s="4" t="str">
        <f t="shared" si="329"/>
        <v>57</v>
      </c>
      <c r="F1689" s="4" t="str">
        <f>"13"</f>
        <v>13</v>
      </c>
      <c r="G1689" s="5">
        <v>75.03</v>
      </c>
      <c r="H1689" s="5" t="s">
        <v>14</v>
      </c>
      <c r="I1689" s="5">
        <v>66.6</v>
      </c>
      <c r="J1689" s="5" t="s">
        <v>14</v>
      </c>
      <c r="K1689" s="7">
        <v>69.13</v>
      </c>
      <c r="L1689" s="8">
        <v>24</v>
      </c>
      <c r="M1689" s="9"/>
    </row>
    <row r="1690" s="1" customFormat="1" ht="20.1" customHeight="1" spans="1:13">
      <c r="A1690" s="4" t="str">
        <f>"37502022022721144020900"</f>
        <v>37502022022721144020900</v>
      </c>
      <c r="B1690" s="4" t="s">
        <v>1633</v>
      </c>
      <c r="C1690" s="4" t="s">
        <v>1658</v>
      </c>
      <c r="D1690" s="4" t="str">
        <f>"20220395615"</f>
        <v>20220395615</v>
      </c>
      <c r="E1690" s="4" t="str">
        <f t="shared" ref="E1690:E1692" si="330">"56"</f>
        <v>56</v>
      </c>
      <c r="F1690" s="4" t="str">
        <f>"15"</f>
        <v>15</v>
      </c>
      <c r="G1690" s="5">
        <v>70.3</v>
      </c>
      <c r="H1690" s="5" t="s">
        <v>14</v>
      </c>
      <c r="I1690" s="5">
        <v>68.4</v>
      </c>
      <c r="J1690" s="5" t="s">
        <v>14</v>
      </c>
      <c r="K1690" s="7">
        <v>68.97</v>
      </c>
      <c r="L1690" s="8">
        <v>25</v>
      </c>
      <c r="M1690" s="9"/>
    </row>
    <row r="1691" s="1" customFormat="1" ht="20.1" customHeight="1" spans="1:13">
      <c r="A1691" s="4" t="str">
        <f>"37502022022609293118721"</f>
        <v>37502022022609293118721</v>
      </c>
      <c r="B1691" s="4" t="s">
        <v>1633</v>
      </c>
      <c r="C1691" s="4" t="s">
        <v>1659</v>
      </c>
      <c r="D1691" s="4" t="str">
        <f>"20220395624"</f>
        <v>20220395624</v>
      </c>
      <c r="E1691" s="4" t="str">
        <f t="shared" si="330"/>
        <v>56</v>
      </c>
      <c r="F1691" s="4" t="str">
        <f>"24"</f>
        <v>24</v>
      </c>
      <c r="G1691" s="5">
        <v>68.09</v>
      </c>
      <c r="H1691" s="5" t="s">
        <v>14</v>
      </c>
      <c r="I1691" s="5">
        <v>68.1</v>
      </c>
      <c r="J1691" s="5" t="s">
        <v>14</v>
      </c>
      <c r="K1691" s="7">
        <v>68.1</v>
      </c>
      <c r="L1691" s="8">
        <v>26</v>
      </c>
      <c r="M1691" s="9"/>
    </row>
    <row r="1692" s="1" customFormat="1" ht="20.1" customHeight="1" spans="1:13">
      <c r="A1692" s="4" t="str">
        <f>"37502022022809214721429"</f>
        <v>37502022022809214721429</v>
      </c>
      <c r="B1692" s="4" t="s">
        <v>1633</v>
      </c>
      <c r="C1692" s="4" t="s">
        <v>1660</v>
      </c>
      <c r="D1692" s="4" t="str">
        <f>"20220395629"</f>
        <v>20220395629</v>
      </c>
      <c r="E1692" s="4" t="str">
        <f t="shared" si="330"/>
        <v>56</v>
      </c>
      <c r="F1692" s="4" t="str">
        <f>"29"</f>
        <v>29</v>
      </c>
      <c r="G1692" s="5">
        <v>66.43</v>
      </c>
      <c r="H1692" s="5" t="s">
        <v>14</v>
      </c>
      <c r="I1692" s="5">
        <v>68.8</v>
      </c>
      <c r="J1692" s="5" t="s">
        <v>14</v>
      </c>
      <c r="K1692" s="7">
        <v>68.09</v>
      </c>
      <c r="L1692" s="8">
        <v>27</v>
      </c>
      <c r="M1692" s="9"/>
    </row>
    <row r="1693" s="1" customFormat="1" ht="20.1" customHeight="1" spans="1:13">
      <c r="A1693" s="4" t="str">
        <f>"37502022030115514923959"</f>
        <v>37502022030115514923959</v>
      </c>
      <c r="B1693" s="4" t="s">
        <v>1633</v>
      </c>
      <c r="C1693" s="4" t="s">
        <v>1661</v>
      </c>
      <c r="D1693" s="4" t="str">
        <f>"20220395716"</f>
        <v>20220395716</v>
      </c>
      <c r="E1693" s="4" t="str">
        <f>"57"</f>
        <v>57</v>
      </c>
      <c r="F1693" s="4" t="str">
        <f>"16"</f>
        <v>16</v>
      </c>
      <c r="G1693" s="5">
        <v>66.25</v>
      </c>
      <c r="H1693" s="5" t="s">
        <v>14</v>
      </c>
      <c r="I1693" s="5">
        <v>68.8</v>
      </c>
      <c r="J1693" s="5" t="s">
        <v>14</v>
      </c>
      <c r="K1693" s="7">
        <v>68.04</v>
      </c>
      <c r="L1693" s="8">
        <v>28</v>
      </c>
      <c r="M1693" s="9"/>
    </row>
    <row r="1694" s="1" customFormat="1" ht="20.1" customHeight="1" spans="1:13">
      <c r="A1694" s="4" t="str">
        <f>"37502022030220594525975"</f>
        <v>37502022030220594525975</v>
      </c>
      <c r="B1694" s="4" t="s">
        <v>1633</v>
      </c>
      <c r="C1694" s="4" t="s">
        <v>1662</v>
      </c>
      <c r="D1694" s="4" t="str">
        <f>"20220395620"</f>
        <v>20220395620</v>
      </c>
      <c r="E1694" s="4" t="str">
        <f t="shared" ref="E1694:E1697" si="331">"56"</f>
        <v>56</v>
      </c>
      <c r="F1694" s="4" t="str">
        <f>"20"</f>
        <v>20</v>
      </c>
      <c r="G1694" s="5">
        <v>67.89</v>
      </c>
      <c r="H1694" s="5" t="s">
        <v>14</v>
      </c>
      <c r="I1694" s="5">
        <v>67.4</v>
      </c>
      <c r="J1694" s="5" t="s">
        <v>14</v>
      </c>
      <c r="K1694" s="7">
        <v>67.55</v>
      </c>
      <c r="L1694" s="8">
        <v>29</v>
      </c>
      <c r="M1694" s="9"/>
    </row>
    <row r="1695" s="1" customFormat="1" ht="20.1" customHeight="1" spans="1:13">
      <c r="A1695" s="4" t="str">
        <f>"37502022030217051225594"</f>
        <v>37502022030217051225594</v>
      </c>
      <c r="B1695" s="4" t="s">
        <v>1633</v>
      </c>
      <c r="C1695" s="4" t="s">
        <v>1663</v>
      </c>
      <c r="D1695" s="4" t="str">
        <f>"20220395619"</f>
        <v>20220395619</v>
      </c>
      <c r="E1695" s="4" t="str">
        <f t="shared" si="331"/>
        <v>56</v>
      </c>
      <c r="F1695" s="4" t="str">
        <f>"19"</f>
        <v>19</v>
      </c>
      <c r="G1695" s="5">
        <v>62.81</v>
      </c>
      <c r="H1695" s="5" t="s">
        <v>14</v>
      </c>
      <c r="I1695" s="5">
        <v>69.4</v>
      </c>
      <c r="J1695" s="5" t="s">
        <v>14</v>
      </c>
      <c r="K1695" s="7">
        <v>67.42</v>
      </c>
      <c r="L1695" s="8">
        <v>30</v>
      </c>
      <c r="M1695" s="9"/>
    </row>
    <row r="1696" s="1" customFormat="1" ht="20.1" customHeight="1" spans="1:13">
      <c r="A1696" s="4" t="str">
        <f>"37502022022614520919267"</f>
        <v>37502022022614520919267</v>
      </c>
      <c r="B1696" s="4" t="s">
        <v>1633</v>
      </c>
      <c r="C1696" s="4" t="s">
        <v>1052</v>
      </c>
      <c r="D1696" s="4" t="str">
        <f>"20220395617"</f>
        <v>20220395617</v>
      </c>
      <c r="E1696" s="4" t="str">
        <f t="shared" si="331"/>
        <v>56</v>
      </c>
      <c r="F1696" s="4" t="str">
        <f>"17"</f>
        <v>17</v>
      </c>
      <c r="G1696" s="5">
        <v>64.34</v>
      </c>
      <c r="H1696" s="5" t="s">
        <v>14</v>
      </c>
      <c r="I1696" s="5">
        <v>68.7</v>
      </c>
      <c r="J1696" s="5" t="s">
        <v>14</v>
      </c>
      <c r="K1696" s="7">
        <v>67.39</v>
      </c>
      <c r="L1696" s="8">
        <v>31</v>
      </c>
      <c r="M1696" s="9"/>
    </row>
    <row r="1697" s="1" customFormat="1" ht="20.1" customHeight="1" spans="1:13">
      <c r="A1697" s="4" t="str">
        <f>"37502022022620502119651"</f>
        <v>37502022022620502119651</v>
      </c>
      <c r="B1697" s="4" t="s">
        <v>1633</v>
      </c>
      <c r="C1697" s="4" t="s">
        <v>1664</v>
      </c>
      <c r="D1697" s="4" t="str">
        <f>"20220395623"</f>
        <v>20220395623</v>
      </c>
      <c r="E1697" s="4" t="str">
        <f t="shared" si="331"/>
        <v>56</v>
      </c>
      <c r="F1697" s="4" t="str">
        <f>"23"</f>
        <v>23</v>
      </c>
      <c r="G1697" s="5">
        <v>66.64</v>
      </c>
      <c r="H1697" s="5" t="s">
        <v>14</v>
      </c>
      <c r="I1697" s="5">
        <v>63.5</v>
      </c>
      <c r="J1697" s="5" t="s">
        <v>14</v>
      </c>
      <c r="K1697" s="7">
        <v>64.44</v>
      </c>
      <c r="L1697" s="8">
        <v>32</v>
      </c>
      <c r="M1697" s="9"/>
    </row>
    <row r="1698" s="1" customFormat="1" ht="20.1" customHeight="1" spans="1:13">
      <c r="A1698" s="4" t="str">
        <f>"37502022030115223223909"</f>
        <v>37502022030115223223909</v>
      </c>
      <c r="B1698" s="4" t="s">
        <v>1633</v>
      </c>
      <c r="C1698" s="4" t="s">
        <v>1665</v>
      </c>
      <c r="D1698" s="4" t="str">
        <f>"20220395720"</f>
        <v>20220395720</v>
      </c>
      <c r="E1698" s="4" t="str">
        <f t="shared" ref="E1698:E1705" si="332">"57"</f>
        <v>57</v>
      </c>
      <c r="F1698" s="4" t="str">
        <f>"20"</f>
        <v>20</v>
      </c>
      <c r="G1698" s="5">
        <v>58.08</v>
      </c>
      <c r="H1698" s="5" t="s">
        <v>14</v>
      </c>
      <c r="I1698" s="5">
        <v>64.8</v>
      </c>
      <c r="J1698" s="5" t="s">
        <v>14</v>
      </c>
      <c r="K1698" s="7">
        <v>62.78</v>
      </c>
      <c r="L1698" s="8">
        <v>33</v>
      </c>
      <c r="M1698" s="9"/>
    </row>
    <row r="1699" s="1" customFormat="1" ht="20.1" customHeight="1" spans="1:13">
      <c r="A1699" s="4" t="str">
        <f>"37502022022720200220782"</f>
        <v>37502022022720200220782</v>
      </c>
      <c r="B1699" s="4" t="s">
        <v>1633</v>
      </c>
      <c r="C1699" s="4" t="s">
        <v>1666</v>
      </c>
      <c r="D1699" s="4" t="str">
        <f>"20220395705"</f>
        <v>20220395705</v>
      </c>
      <c r="E1699" s="4" t="str">
        <f t="shared" si="332"/>
        <v>57</v>
      </c>
      <c r="F1699" s="4" t="str">
        <f>"05"</f>
        <v>05</v>
      </c>
      <c r="G1699" s="5">
        <v>0</v>
      </c>
      <c r="H1699" s="5" t="s">
        <v>74</v>
      </c>
      <c r="I1699" s="5">
        <v>0</v>
      </c>
      <c r="J1699" s="5" t="s">
        <v>74</v>
      </c>
      <c r="K1699" s="7">
        <v>0</v>
      </c>
      <c r="L1699" s="8">
        <v>34</v>
      </c>
      <c r="M1699" s="9"/>
    </row>
    <row r="1700" s="1" customFormat="1" ht="20.1" customHeight="1" spans="1:13">
      <c r="A1700" s="4" t="str">
        <f>"37502022030110391023423"</f>
        <v>37502022030110391023423</v>
      </c>
      <c r="B1700" s="4" t="s">
        <v>1633</v>
      </c>
      <c r="C1700" s="4" t="s">
        <v>1667</v>
      </c>
      <c r="D1700" s="4" t="str">
        <f>"20220395616"</f>
        <v>20220395616</v>
      </c>
      <c r="E1700" s="4" t="str">
        <f t="shared" ref="E1700:E1702" si="333">"56"</f>
        <v>56</v>
      </c>
      <c r="F1700" s="4" t="str">
        <f>"16"</f>
        <v>16</v>
      </c>
      <c r="G1700" s="5">
        <v>0</v>
      </c>
      <c r="H1700" s="5" t="s">
        <v>74</v>
      </c>
      <c r="I1700" s="5">
        <v>0</v>
      </c>
      <c r="J1700" s="5" t="s">
        <v>74</v>
      </c>
      <c r="K1700" s="7">
        <v>0</v>
      </c>
      <c r="L1700" s="8">
        <v>34</v>
      </c>
      <c r="M1700" s="9"/>
    </row>
    <row r="1701" s="1" customFormat="1" ht="20.1" customHeight="1" spans="1:13">
      <c r="A1701" s="4" t="str">
        <f>"37502022030120435924497"</f>
        <v>37502022030120435924497</v>
      </c>
      <c r="B1701" s="4" t="s">
        <v>1633</v>
      </c>
      <c r="C1701" s="4" t="s">
        <v>1668</v>
      </c>
      <c r="D1701" s="4" t="str">
        <f>"20220395627"</f>
        <v>20220395627</v>
      </c>
      <c r="E1701" s="4" t="str">
        <f t="shared" si="333"/>
        <v>56</v>
      </c>
      <c r="F1701" s="4" t="str">
        <f>"27"</f>
        <v>27</v>
      </c>
      <c r="G1701" s="5">
        <v>0</v>
      </c>
      <c r="H1701" s="5" t="s">
        <v>74</v>
      </c>
      <c r="I1701" s="5">
        <v>0</v>
      </c>
      <c r="J1701" s="5" t="s">
        <v>74</v>
      </c>
      <c r="K1701" s="7">
        <v>0</v>
      </c>
      <c r="L1701" s="8">
        <v>34</v>
      </c>
      <c r="M1701" s="9"/>
    </row>
    <row r="1702" s="1" customFormat="1" ht="20.1" customHeight="1" spans="1:13">
      <c r="A1702" s="4" t="str">
        <f>"37502022030216320625536"</f>
        <v>37502022030216320625536</v>
      </c>
      <c r="B1702" s="4" t="s">
        <v>1633</v>
      </c>
      <c r="C1702" s="4" t="s">
        <v>1669</v>
      </c>
      <c r="D1702" s="4" t="str">
        <f>"20220395626"</f>
        <v>20220395626</v>
      </c>
      <c r="E1702" s="4" t="str">
        <f t="shared" si="333"/>
        <v>56</v>
      </c>
      <c r="F1702" s="4" t="str">
        <f>"26"</f>
        <v>26</v>
      </c>
      <c r="G1702" s="5">
        <v>0</v>
      </c>
      <c r="H1702" s="5" t="s">
        <v>74</v>
      </c>
      <c r="I1702" s="5">
        <v>0</v>
      </c>
      <c r="J1702" s="5" t="s">
        <v>74</v>
      </c>
      <c r="K1702" s="7">
        <v>0</v>
      </c>
      <c r="L1702" s="8">
        <v>34</v>
      </c>
      <c r="M1702" s="9"/>
    </row>
    <row r="1703" s="1" customFormat="1" ht="20.1" customHeight="1" spans="1:13">
      <c r="A1703" s="4" t="str">
        <f>"37502022030220250725916"</f>
        <v>37502022030220250725916</v>
      </c>
      <c r="B1703" s="4" t="s">
        <v>1670</v>
      </c>
      <c r="C1703" s="4" t="s">
        <v>1671</v>
      </c>
      <c r="D1703" s="4" t="str">
        <f>"20220405721"</f>
        <v>20220405721</v>
      </c>
      <c r="E1703" s="4" t="str">
        <f t="shared" si="332"/>
        <v>57</v>
      </c>
      <c r="F1703" s="4" t="str">
        <f>"21"</f>
        <v>21</v>
      </c>
      <c r="G1703" s="5">
        <v>84.82</v>
      </c>
      <c r="H1703" s="5" t="s">
        <v>14</v>
      </c>
      <c r="I1703" s="5">
        <v>84</v>
      </c>
      <c r="J1703" s="5" t="s">
        <v>14</v>
      </c>
      <c r="K1703" s="7">
        <v>84.25</v>
      </c>
      <c r="L1703" s="8">
        <v>1</v>
      </c>
      <c r="M1703" s="9"/>
    </row>
    <row r="1704" s="1" customFormat="1" ht="20.1" customHeight="1" spans="1:13">
      <c r="A1704" s="4" t="str">
        <f>"37502022030220023225864"</f>
        <v>37502022030220023225864</v>
      </c>
      <c r="B1704" s="4" t="s">
        <v>1670</v>
      </c>
      <c r="C1704" s="4" t="s">
        <v>1672</v>
      </c>
      <c r="D1704" s="4" t="str">
        <f>"20220405728"</f>
        <v>20220405728</v>
      </c>
      <c r="E1704" s="4" t="str">
        <f t="shared" si="332"/>
        <v>57</v>
      </c>
      <c r="F1704" s="4" t="str">
        <f>"28"</f>
        <v>28</v>
      </c>
      <c r="G1704" s="5">
        <v>75.8</v>
      </c>
      <c r="H1704" s="5" t="s">
        <v>14</v>
      </c>
      <c r="I1704" s="5">
        <v>80</v>
      </c>
      <c r="J1704" s="5" t="s">
        <v>14</v>
      </c>
      <c r="K1704" s="7">
        <v>78.74</v>
      </c>
      <c r="L1704" s="8">
        <v>2</v>
      </c>
      <c r="M1704" s="9"/>
    </row>
    <row r="1705" s="1" customFormat="1" ht="20.1" customHeight="1" spans="1:13">
      <c r="A1705" s="4" t="str">
        <f>"37502022030109453123288"</f>
        <v>37502022030109453123288</v>
      </c>
      <c r="B1705" s="4" t="s">
        <v>1670</v>
      </c>
      <c r="C1705" s="4" t="s">
        <v>1673</v>
      </c>
      <c r="D1705" s="4" t="str">
        <f>"20220405726"</f>
        <v>20220405726</v>
      </c>
      <c r="E1705" s="4" t="str">
        <f t="shared" si="332"/>
        <v>57</v>
      </c>
      <c r="F1705" s="4" t="str">
        <f>"26"</f>
        <v>26</v>
      </c>
      <c r="G1705" s="5">
        <v>73.99</v>
      </c>
      <c r="H1705" s="5" t="s">
        <v>14</v>
      </c>
      <c r="I1705" s="5">
        <v>80.3</v>
      </c>
      <c r="J1705" s="5" t="s">
        <v>14</v>
      </c>
      <c r="K1705" s="7">
        <v>78.41</v>
      </c>
      <c r="L1705" s="8">
        <v>3</v>
      </c>
      <c r="M1705" s="9"/>
    </row>
    <row r="1706" s="1" customFormat="1" ht="20.1" customHeight="1" spans="1:13">
      <c r="A1706" s="4" t="str">
        <f>"37502022022812150221898"</f>
        <v>37502022022812150221898</v>
      </c>
      <c r="B1706" s="4" t="s">
        <v>1670</v>
      </c>
      <c r="C1706" s="4" t="s">
        <v>1674</v>
      </c>
      <c r="D1706" s="4" t="str">
        <f>"20220405801"</f>
        <v>20220405801</v>
      </c>
      <c r="E1706" s="4" t="str">
        <f t="shared" ref="E1706:E1710" si="334">"58"</f>
        <v>58</v>
      </c>
      <c r="F1706" s="4" t="str">
        <f>"01"</f>
        <v>01</v>
      </c>
      <c r="G1706" s="5">
        <v>76.19</v>
      </c>
      <c r="H1706" s="5" t="s">
        <v>14</v>
      </c>
      <c r="I1706" s="5">
        <v>78.5</v>
      </c>
      <c r="J1706" s="5" t="s">
        <v>14</v>
      </c>
      <c r="K1706" s="7">
        <v>77.81</v>
      </c>
      <c r="L1706" s="8">
        <v>4</v>
      </c>
      <c r="M1706" s="9"/>
    </row>
    <row r="1707" s="1" customFormat="1" ht="20.1" customHeight="1" spans="1:13">
      <c r="A1707" s="4" t="str">
        <f>"37502022022821053022990"</f>
        <v>37502022022821053022990</v>
      </c>
      <c r="B1707" s="4" t="s">
        <v>1670</v>
      </c>
      <c r="C1707" s="4" t="s">
        <v>1675</v>
      </c>
      <c r="D1707" s="4" t="str">
        <f>"20220405822"</f>
        <v>20220405822</v>
      </c>
      <c r="E1707" s="4" t="str">
        <f t="shared" si="334"/>
        <v>58</v>
      </c>
      <c r="F1707" s="4" t="str">
        <f>"22"</f>
        <v>22</v>
      </c>
      <c r="G1707" s="5">
        <v>72.51</v>
      </c>
      <c r="H1707" s="5" t="s">
        <v>14</v>
      </c>
      <c r="I1707" s="5">
        <v>78.7</v>
      </c>
      <c r="J1707" s="5" t="s">
        <v>14</v>
      </c>
      <c r="K1707" s="7">
        <v>76.84</v>
      </c>
      <c r="L1707" s="8">
        <v>5</v>
      </c>
      <c r="M1707" s="9"/>
    </row>
    <row r="1708" s="1" customFormat="1" ht="20.1" customHeight="1" spans="1:13">
      <c r="A1708" s="4" t="str">
        <f>"37502022030115375923932"</f>
        <v>37502022030115375923932</v>
      </c>
      <c r="B1708" s="4" t="s">
        <v>1670</v>
      </c>
      <c r="C1708" s="4" t="s">
        <v>1676</v>
      </c>
      <c r="D1708" s="4" t="str">
        <f>"20220405724"</f>
        <v>20220405724</v>
      </c>
      <c r="E1708" s="4" t="str">
        <f t="shared" ref="E1708:E1713" si="335">"57"</f>
        <v>57</v>
      </c>
      <c r="F1708" s="4" t="str">
        <f>"24"</f>
        <v>24</v>
      </c>
      <c r="G1708" s="5">
        <v>71.63</v>
      </c>
      <c r="H1708" s="5" t="s">
        <v>14</v>
      </c>
      <c r="I1708" s="5">
        <v>78.9</v>
      </c>
      <c r="J1708" s="5" t="s">
        <v>14</v>
      </c>
      <c r="K1708" s="7">
        <v>76.72</v>
      </c>
      <c r="L1708" s="8">
        <v>6</v>
      </c>
      <c r="M1708" s="9"/>
    </row>
    <row r="1709" s="1" customFormat="1" ht="20.1" customHeight="1" spans="1:13">
      <c r="A1709" s="4" t="str">
        <f>"37502022022812125121892"</f>
        <v>37502022022812125121892</v>
      </c>
      <c r="B1709" s="4" t="s">
        <v>1670</v>
      </c>
      <c r="C1709" s="4" t="s">
        <v>1677</v>
      </c>
      <c r="D1709" s="4" t="str">
        <f>"20220405825"</f>
        <v>20220405825</v>
      </c>
      <c r="E1709" s="4" t="str">
        <f t="shared" si="334"/>
        <v>58</v>
      </c>
      <c r="F1709" s="4" t="str">
        <f>"25"</f>
        <v>25</v>
      </c>
      <c r="G1709" s="5">
        <v>75.07</v>
      </c>
      <c r="H1709" s="5" t="s">
        <v>14</v>
      </c>
      <c r="I1709" s="5">
        <v>76.4</v>
      </c>
      <c r="J1709" s="5" t="s">
        <v>14</v>
      </c>
      <c r="K1709" s="7">
        <v>76</v>
      </c>
      <c r="L1709" s="8">
        <v>7</v>
      </c>
      <c r="M1709" s="9"/>
    </row>
    <row r="1710" s="1" customFormat="1" ht="20.1" customHeight="1" spans="1:13">
      <c r="A1710" s="4" t="str">
        <f>"37502022022713462020189"</f>
        <v>37502022022713462020189</v>
      </c>
      <c r="B1710" s="4" t="s">
        <v>1670</v>
      </c>
      <c r="C1710" s="4" t="s">
        <v>1678</v>
      </c>
      <c r="D1710" s="4" t="str">
        <f>"20220405812"</f>
        <v>20220405812</v>
      </c>
      <c r="E1710" s="4" t="str">
        <f t="shared" si="334"/>
        <v>58</v>
      </c>
      <c r="F1710" s="4" t="str">
        <f>"12"</f>
        <v>12</v>
      </c>
      <c r="G1710" s="5">
        <v>71.29</v>
      </c>
      <c r="H1710" s="5" t="s">
        <v>14</v>
      </c>
      <c r="I1710" s="5">
        <v>78</v>
      </c>
      <c r="J1710" s="5" t="s">
        <v>14</v>
      </c>
      <c r="K1710" s="7">
        <v>75.99</v>
      </c>
      <c r="L1710" s="8">
        <v>8</v>
      </c>
      <c r="M1710" s="9"/>
    </row>
    <row r="1711" s="1" customFormat="1" ht="20.1" customHeight="1" spans="1:13">
      <c r="A1711" s="4" t="str">
        <f>"37502022022610072318827"</f>
        <v>37502022022610072318827</v>
      </c>
      <c r="B1711" s="4" t="s">
        <v>1670</v>
      </c>
      <c r="C1711" s="4" t="s">
        <v>1679</v>
      </c>
      <c r="D1711" s="4" t="str">
        <f>"20220405722"</f>
        <v>20220405722</v>
      </c>
      <c r="E1711" s="4" t="str">
        <f t="shared" si="335"/>
        <v>57</v>
      </c>
      <c r="F1711" s="4" t="str">
        <f>"22"</f>
        <v>22</v>
      </c>
      <c r="G1711" s="5">
        <v>67.59</v>
      </c>
      <c r="H1711" s="5" t="s">
        <v>14</v>
      </c>
      <c r="I1711" s="5">
        <v>78.4</v>
      </c>
      <c r="J1711" s="5" t="s">
        <v>14</v>
      </c>
      <c r="K1711" s="7">
        <v>75.16</v>
      </c>
      <c r="L1711" s="8">
        <v>9</v>
      </c>
      <c r="M1711" s="9"/>
    </row>
    <row r="1712" s="1" customFormat="1" ht="20.1" customHeight="1" spans="1:13">
      <c r="A1712" s="4" t="str">
        <f>"37502022030114293423835"</f>
        <v>37502022030114293423835</v>
      </c>
      <c r="B1712" s="4" t="s">
        <v>1670</v>
      </c>
      <c r="C1712" s="4" t="s">
        <v>1680</v>
      </c>
      <c r="D1712" s="4" t="str">
        <f>"20220405811"</f>
        <v>20220405811</v>
      </c>
      <c r="E1712" s="4" t="str">
        <f t="shared" ref="E1712:E1716" si="336">"58"</f>
        <v>58</v>
      </c>
      <c r="F1712" s="4" t="str">
        <f>"11"</f>
        <v>11</v>
      </c>
      <c r="G1712" s="5">
        <v>79.18</v>
      </c>
      <c r="H1712" s="5" t="s">
        <v>14</v>
      </c>
      <c r="I1712" s="5">
        <v>73.3</v>
      </c>
      <c r="J1712" s="5" t="s">
        <v>14</v>
      </c>
      <c r="K1712" s="7">
        <v>75.06</v>
      </c>
      <c r="L1712" s="8">
        <v>10</v>
      </c>
      <c r="M1712" s="9"/>
    </row>
    <row r="1713" s="1" customFormat="1" ht="20.1" customHeight="1" spans="1:13">
      <c r="A1713" s="4" t="str">
        <f>"37502022022815035222402"</f>
        <v>37502022022815035222402</v>
      </c>
      <c r="B1713" s="4" t="s">
        <v>1670</v>
      </c>
      <c r="C1713" s="4" t="s">
        <v>1681</v>
      </c>
      <c r="D1713" s="4" t="str">
        <f>"20220405725"</f>
        <v>20220405725</v>
      </c>
      <c r="E1713" s="4" t="str">
        <f t="shared" si="335"/>
        <v>57</v>
      </c>
      <c r="F1713" s="4" t="str">
        <f>"25"</f>
        <v>25</v>
      </c>
      <c r="G1713" s="5">
        <v>67.19</v>
      </c>
      <c r="H1713" s="5" t="s">
        <v>14</v>
      </c>
      <c r="I1713" s="5">
        <v>76.1</v>
      </c>
      <c r="J1713" s="5" t="s">
        <v>14</v>
      </c>
      <c r="K1713" s="7">
        <v>73.43</v>
      </c>
      <c r="L1713" s="8">
        <v>11</v>
      </c>
      <c r="M1713" s="9"/>
    </row>
    <row r="1714" s="1" customFormat="1" ht="20.1" customHeight="1" spans="1:13">
      <c r="A1714" s="4" t="str">
        <f>"37502022022817412922803"</f>
        <v>37502022022817412922803</v>
      </c>
      <c r="B1714" s="4" t="s">
        <v>1670</v>
      </c>
      <c r="C1714" s="4" t="s">
        <v>1682</v>
      </c>
      <c r="D1714" s="4" t="str">
        <f>"20220405819"</f>
        <v>20220405819</v>
      </c>
      <c r="E1714" s="4" t="str">
        <f t="shared" si="336"/>
        <v>58</v>
      </c>
      <c r="F1714" s="4" t="str">
        <f>"19"</f>
        <v>19</v>
      </c>
      <c r="G1714" s="5">
        <v>70.69</v>
      </c>
      <c r="H1714" s="5" t="s">
        <v>14</v>
      </c>
      <c r="I1714" s="5">
        <v>70.5</v>
      </c>
      <c r="J1714" s="5" t="s">
        <v>14</v>
      </c>
      <c r="K1714" s="7">
        <v>70.56</v>
      </c>
      <c r="L1714" s="8">
        <v>12</v>
      </c>
      <c r="M1714" s="9"/>
    </row>
    <row r="1715" s="1" customFormat="1" ht="20.1" customHeight="1" spans="1:13">
      <c r="A1715" s="4" t="str">
        <f>"37502022022613530519183"</f>
        <v>37502022022613530519183</v>
      </c>
      <c r="B1715" s="4" t="s">
        <v>1670</v>
      </c>
      <c r="C1715" s="4" t="s">
        <v>174</v>
      </c>
      <c r="D1715" s="4" t="str">
        <f>"20220405807"</f>
        <v>20220405807</v>
      </c>
      <c r="E1715" s="4" t="str">
        <f t="shared" si="336"/>
        <v>58</v>
      </c>
      <c r="F1715" s="4" t="str">
        <f>"07"</f>
        <v>07</v>
      </c>
      <c r="G1715" s="5">
        <v>68.32</v>
      </c>
      <c r="H1715" s="5" t="s">
        <v>14</v>
      </c>
      <c r="I1715" s="5">
        <v>70.6</v>
      </c>
      <c r="J1715" s="5" t="s">
        <v>14</v>
      </c>
      <c r="K1715" s="7">
        <v>69.92</v>
      </c>
      <c r="L1715" s="8">
        <v>13</v>
      </c>
      <c r="M1715" s="9"/>
    </row>
    <row r="1716" s="1" customFormat="1" ht="20.1" customHeight="1" spans="1:13">
      <c r="A1716" s="4" t="str">
        <f>"37502022022722362621083"</f>
        <v>37502022022722362621083</v>
      </c>
      <c r="B1716" s="4" t="s">
        <v>1670</v>
      </c>
      <c r="C1716" s="4" t="s">
        <v>1683</v>
      </c>
      <c r="D1716" s="4" t="str">
        <f>"20220405823"</f>
        <v>20220405823</v>
      </c>
      <c r="E1716" s="4" t="str">
        <f t="shared" si="336"/>
        <v>58</v>
      </c>
      <c r="F1716" s="4" t="str">
        <f>"23"</f>
        <v>23</v>
      </c>
      <c r="G1716" s="5">
        <v>71.41</v>
      </c>
      <c r="H1716" s="5" t="s">
        <v>14</v>
      </c>
      <c r="I1716" s="5">
        <v>68.6</v>
      </c>
      <c r="J1716" s="5" t="s">
        <v>14</v>
      </c>
      <c r="K1716" s="7">
        <v>69.44</v>
      </c>
      <c r="L1716" s="8">
        <v>14</v>
      </c>
      <c r="M1716" s="9"/>
    </row>
    <row r="1717" s="1" customFormat="1" ht="20.1" customHeight="1" spans="1:13">
      <c r="A1717" s="4" t="str">
        <f>"37502022022820543922980"</f>
        <v>37502022022820543922980</v>
      </c>
      <c r="B1717" s="4" t="s">
        <v>1670</v>
      </c>
      <c r="C1717" s="4" t="s">
        <v>1684</v>
      </c>
      <c r="D1717" s="4" t="str">
        <f>"20220405729"</f>
        <v>20220405729</v>
      </c>
      <c r="E1717" s="4" t="str">
        <f>"57"</f>
        <v>57</v>
      </c>
      <c r="F1717" s="4" t="str">
        <f>"29"</f>
        <v>29</v>
      </c>
      <c r="G1717" s="5">
        <v>72.83</v>
      </c>
      <c r="H1717" s="5" t="s">
        <v>14</v>
      </c>
      <c r="I1717" s="5">
        <v>66.4</v>
      </c>
      <c r="J1717" s="5" t="s">
        <v>14</v>
      </c>
      <c r="K1717" s="7">
        <v>68.33</v>
      </c>
      <c r="L1717" s="8">
        <v>15</v>
      </c>
      <c r="M1717" s="9"/>
    </row>
    <row r="1718" s="1" customFormat="1" ht="20.1" customHeight="1" spans="1:13">
      <c r="A1718" s="4" t="str">
        <f>"37502022022812144521897"</f>
        <v>37502022022812144521897</v>
      </c>
      <c r="B1718" s="4" t="s">
        <v>1670</v>
      </c>
      <c r="C1718" s="4" t="s">
        <v>1685</v>
      </c>
      <c r="D1718" s="4" t="str">
        <f>"20220405818"</f>
        <v>20220405818</v>
      </c>
      <c r="E1718" s="4" t="str">
        <f t="shared" ref="E1718:E1721" si="337">"58"</f>
        <v>58</v>
      </c>
      <c r="F1718" s="4" t="str">
        <f>"18"</f>
        <v>18</v>
      </c>
      <c r="G1718" s="5">
        <v>72.5</v>
      </c>
      <c r="H1718" s="5" t="s">
        <v>14</v>
      </c>
      <c r="I1718" s="5">
        <v>66</v>
      </c>
      <c r="J1718" s="5" t="s">
        <v>14</v>
      </c>
      <c r="K1718" s="7">
        <v>67.95</v>
      </c>
      <c r="L1718" s="8">
        <v>16</v>
      </c>
      <c r="M1718" s="9"/>
    </row>
    <row r="1719" s="1" customFormat="1" ht="20.1" customHeight="1" spans="1:13">
      <c r="A1719" s="4" t="str">
        <f>"37502022030112322623642"</f>
        <v>37502022030112322623642</v>
      </c>
      <c r="B1719" s="4" t="s">
        <v>1670</v>
      </c>
      <c r="C1719" s="4" t="s">
        <v>1686</v>
      </c>
      <c r="D1719" s="4" t="str">
        <f>"20220405824"</f>
        <v>20220405824</v>
      </c>
      <c r="E1719" s="4" t="str">
        <f t="shared" si="337"/>
        <v>58</v>
      </c>
      <c r="F1719" s="4" t="str">
        <f>"24"</f>
        <v>24</v>
      </c>
      <c r="G1719" s="5">
        <v>61.2</v>
      </c>
      <c r="H1719" s="5" t="s">
        <v>14</v>
      </c>
      <c r="I1719" s="5">
        <v>70.2</v>
      </c>
      <c r="J1719" s="5" t="s">
        <v>14</v>
      </c>
      <c r="K1719" s="7">
        <v>67.5</v>
      </c>
      <c r="L1719" s="8">
        <v>17</v>
      </c>
      <c r="M1719" s="9"/>
    </row>
    <row r="1720" s="1" customFormat="1" ht="20.1" customHeight="1" spans="1:13">
      <c r="A1720" s="4" t="str">
        <f>"37502022022816175922645"</f>
        <v>37502022022816175922645</v>
      </c>
      <c r="B1720" s="4" t="s">
        <v>1670</v>
      </c>
      <c r="C1720" s="4" t="s">
        <v>41</v>
      </c>
      <c r="D1720" s="4" t="str">
        <f>"20220405814"</f>
        <v>20220405814</v>
      </c>
      <c r="E1720" s="4" t="str">
        <f t="shared" si="337"/>
        <v>58</v>
      </c>
      <c r="F1720" s="4" t="str">
        <f>"14"</f>
        <v>14</v>
      </c>
      <c r="G1720" s="5">
        <v>64.09</v>
      </c>
      <c r="H1720" s="5" t="s">
        <v>14</v>
      </c>
      <c r="I1720" s="5">
        <v>68.8</v>
      </c>
      <c r="J1720" s="5" t="s">
        <v>14</v>
      </c>
      <c r="K1720" s="7">
        <v>67.39</v>
      </c>
      <c r="L1720" s="8">
        <v>18</v>
      </c>
      <c r="M1720" s="9"/>
    </row>
    <row r="1721" s="1" customFormat="1" ht="20.1" customHeight="1" spans="1:13">
      <c r="A1721" s="4" t="str">
        <f>"37502022022820122922939"</f>
        <v>37502022022820122922939</v>
      </c>
      <c r="B1721" s="4" t="s">
        <v>1670</v>
      </c>
      <c r="C1721" s="4" t="s">
        <v>1687</v>
      </c>
      <c r="D1721" s="4" t="str">
        <f>"20220405806"</f>
        <v>20220405806</v>
      </c>
      <c r="E1721" s="4" t="str">
        <f t="shared" si="337"/>
        <v>58</v>
      </c>
      <c r="F1721" s="4" t="str">
        <f>"06"</f>
        <v>06</v>
      </c>
      <c r="G1721" s="5">
        <v>62.94</v>
      </c>
      <c r="H1721" s="5" t="s">
        <v>14</v>
      </c>
      <c r="I1721" s="5">
        <v>69.2</v>
      </c>
      <c r="J1721" s="5" t="s">
        <v>14</v>
      </c>
      <c r="K1721" s="7">
        <v>67.32</v>
      </c>
      <c r="L1721" s="8">
        <v>19</v>
      </c>
      <c r="M1721" s="9"/>
    </row>
    <row r="1722" s="1" customFormat="1" ht="20.1" customHeight="1" spans="1:13">
      <c r="A1722" s="4" t="str">
        <f>"37502022022720501220856"</f>
        <v>37502022022720501220856</v>
      </c>
      <c r="B1722" s="4" t="s">
        <v>1670</v>
      </c>
      <c r="C1722" s="4" t="s">
        <v>1688</v>
      </c>
      <c r="D1722" s="4" t="str">
        <f>"20220405730"</f>
        <v>20220405730</v>
      </c>
      <c r="E1722" s="4" t="str">
        <f>"57"</f>
        <v>57</v>
      </c>
      <c r="F1722" s="4" t="str">
        <f>"30"</f>
        <v>30</v>
      </c>
      <c r="G1722" s="5">
        <v>66.02</v>
      </c>
      <c r="H1722" s="5" t="s">
        <v>14</v>
      </c>
      <c r="I1722" s="5">
        <v>66.8</v>
      </c>
      <c r="J1722" s="5" t="s">
        <v>14</v>
      </c>
      <c r="K1722" s="7">
        <v>66.57</v>
      </c>
      <c r="L1722" s="8">
        <v>20</v>
      </c>
      <c r="M1722" s="9"/>
    </row>
    <row r="1723" s="1" customFormat="1" ht="20.1" customHeight="1" spans="1:13">
      <c r="A1723" s="4" t="str">
        <f>"37502022030222084526085"</f>
        <v>37502022030222084526085</v>
      </c>
      <c r="B1723" s="4" t="s">
        <v>1670</v>
      </c>
      <c r="C1723" s="4" t="s">
        <v>46</v>
      </c>
      <c r="D1723" s="4" t="str">
        <f>"20220405820"</f>
        <v>20220405820</v>
      </c>
      <c r="E1723" s="4" t="str">
        <f t="shared" ref="E1723:E1730" si="338">"58"</f>
        <v>58</v>
      </c>
      <c r="F1723" s="4" t="str">
        <f>"20"</f>
        <v>20</v>
      </c>
      <c r="G1723" s="5">
        <v>67.54</v>
      </c>
      <c r="H1723" s="5" t="s">
        <v>14</v>
      </c>
      <c r="I1723" s="5">
        <v>66.1</v>
      </c>
      <c r="J1723" s="5" t="s">
        <v>14</v>
      </c>
      <c r="K1723" s="7">
        <v>66.53</v>
      </c>
      <c r="L1723" s="8">
        <v>21</v>
      </c>
      <c r="M1723" s="9"/>
    </row>
    <row r="1724" s="1" customFormat="1" ht="20.1" customHeight="1" spans="1:13">
      <c r="A1724" s="4" t="str">
        <f>"37502022022609384418748"</f>
        <v>37502022022609384418748</v>
      </c>
      <c r="B1724" s="4" t="s">
        <v>1670</v>
      </c>
      <c r="C1724" s="4" t="s">
        <v>1689</v>
      </c>
      <c r="D1724" s="4" t="str">
        <f>"20220405816"</f>
        <v>20220405816</v>
      </c>
      <c r="E1724" s="4" t="str">
        <f t="shared" si="338"/>
        <v>58</v>
      </c>
      <c r="F1724" s="4" t="str">
        <f>"16"</f>
        <v>16</v>
      </c>
      <c r="G1724" s="5">
        <v>71.07</v>
      </c>
      <c r="H1724" s="5" t="s">
        <v>14</v>
      </c>
      <c r="I1724" s="5">
        <v>64.1</v>
      </c>
      <c r="J1724" s="5" t="s">
        <v>14</v>
      </c>
      <c r="K1724" s="7">
        <v>66.19</v>
      </c>
      <c r="L1724" s="8">
        <v>22</v>
      </c>
      <c r="M1724" s="9"/>
    </row>
    <row r="1725" s="1" customFormat="1" ht="20.1" customHeight="1" spans="1:13">
      <c r="A1725" s="4" t="str">
        <f>"37502022022819262422890"</f>
        <v>37502022022819262422890</v>
      </c>
      <c r="B1725" s="4" t="s">
        <v>1670</v>
      </c>
      <c r="C1725" s="4" t="s">
        <v>1690</v>
      </c>
      <c r="D1725" s="4" t="str">
        <f>"20220405805"</f>
        <v>20220405805</v>
      </c>
      <c r="E1725" s="4" t="str">
        <f t="shared" si="338"/>
        <v>58</v>
      </c>
      <c r="F1725" s="4" t="str">
        <f>"05"</f>
        <v>05</v>
      </c>
      <c r="G1725" s="5">
        <v>65.09</v>
      </c>
      <c r="H1725" s="5" t="s">
        <v>14</v>
      </c>
      <c r="I1725" s="5">
        <v>64.1</v>
      </c>
      <c r="J1725" s="5" t="s">
        <v>14</v>
      </c>
      <c r="K1725" s="7">
        <v>64.4</v>
      </c>
      <c r="L1725" s="8">
        <v>23</v>
      </c>
      <c r="M1725" s="9"/>
    </row>
    <row r="1726" s="1" customFormat="1" ht="20.1" customHeight="1" spans="1:13">
      <c r="A1726" s="4" t="str">
        <f>"37502022022811121721743"</f>
        <v>37502022022811121721743</v>
      </c>
      <c r="B1726" s="4" t="s">
        <v>1670</v>
      </c>
      <c r="C1726" s="4" t="s">
        <v>1691</v>
      </c>
      <c r="D1726" s="4" t="str">
        <f>"20220405808"</f>
        <v>20220405808</v>
      </c>
      <c r="E1726" s="4" t="str">
        <f t="shared" si="338"/>
        <v>58</v>
      </c>
      <c r="F1726" s="4" t="str">
        <f>"08"</f>
        <v>08</v>
      </c>
      <c r="G1726" s="5">
        <v>59.55</v>
      </c>
      <c r="H1726" s="5" t="s">
        <v>14</v>
      </c>
      <c r="I1726" s="5">
        <v>66.1</v>
      </c>
      <c r="J1726" s="5" t="s">
        <v>14</v>
      </c>
      <c r="K1726" s="7">
        <v>64.14</v>
      </c>
      <c r="L1726" s="8">
        <v>24</v>
      </c>
      <c r="M1726" s="9"/>
    </row>
    <row r="1727" s="1" customFormat="1" ht="20.1" customHeight="1" spans="1:13">
      <c r="A1727" s="4" t="str">
        <f>"37502022030223125726168"</f>
        <v>37502022030223125726168</v>
      </c>
      <c r="B1727" s="4" t="s">
        <v>1670</v>
      </c>
      <c r="C1727" s="4" t="s">
        <v>1692</v>
      </c>
      <c r="D1727" s="4" t="str">
        <f>"20220405826"</f>
        <v>20220405826</v>
      </c>
      <c r="E1727" s="4" t="str">
        <f t="shared" si="338"/>
        <v>58</v>
      </c>
      <c r="F1727" s="4" t="str">
        <f>"26"</f>
        <v>26</v>
      </c>
      <c r="G1727" s="5">
        <v>57.09</v>
      </c>
      <c r="H1727" s="5" t="s">
        <v>14</v>
      </c>
      <c r="I1727" s="5">
        <v>62.3</v>
      </c>
      <c r="J1727" s="5" t="s">
        <v>14</v>
      </c>
      <c r="K1727" s="7">
        <v>60.74</v>
      </c>
      <c r="L1727" s="8">
        <v>25</v>
      </c>
      <c r="M1727" s="9"/>
    </row>
    <row r="1728" s="1" customFormat="1" ht="20.1" customHeight="1" spans="1:13">
      <c r="A1728" s="4" t="str">
        <f>"37502022022619071119541"</f>
        <v>37502022022619071119541</v>
      </c>
      <c r="B1728" s="4" t="s">
        <v>1670</v>
      </c>
      <c r="C1728" s="4" t="s">
        <v>1693</v>
      </c>
      <c r="D1728" s="4" t="str">
        <f>"20220405802"</f>
        <v>20220405802</v>
      </c>
      <c r="E1728" s="4" t="str">
        <f t="shared" si="338"/>
        <v>58</v>
      </c>
      <c r="F1728" s="4" t="str">
        <f>"02"</f>
        <v>02</v>
      </c>
      <c r="G1728" s="5">
        <v>0</v>
      </c>
      <c r="H1728" s="5" t="s">
        <v>74</v>
      </c>
      <c r="I1728" s="5">
        <v>0</v>
      </c>
      <c r="J1728" s="5" t="s">
        <v>74</v>
      </c>
      <c r="K1728" s="7">
        <v>0</v>
      </c>
      <c r="L1728" s="8">
        <v>26</v>
      </c>
      <c r="M1728" s="9"/>
    </row>
    <row r="1729" s="1" customFormat="1" ht="20.1" customHeight="1" spans="1:13">
      <c r="A1729" s="4" t="str">
        <f>"37502022022619342819560"</f>
        <v>37502022022619342819560</v>
      </c>
      <c r="B1729" s="4" t="s">
        <v>1670</v>
      </c>
      <c r="C1729" s="4" t="s">
        <v>1694</v>
      </c>
      <c r="D1729" s="4" t="str">
        <f>"20220405813"</f>
        <v>20220405813</v>
      </c>
      <c r="E1729" s="4" t="str">
        <f t="shared" si="338"/>
        <v>58</v>
      </c>
      <c r="F1729" s="4" t="str">
        <f>"13"</f>
        <v>13</v>
      </c>
      <c r="G1729" s="5">
        <v>0</v>
      </c>
      <c r="H1729" s="5" t="s">
        <v>74</v>
      </c>
      <c r="I1729" s="5">
        <v>0</v>
      </c>
      <c r="J1729" s="5" t="s">
        <v>74</v>
      </c>
      <c r="K1729" s="7">
        <v>0</v>
      </c>
      <c r="L1729" s="8">
        <v>26</v>
      </c>
      <c r="M1729" s="9"/>
    </row>
    <row r="1730" s="1" customFormat="1" ht="20.1" customHeight="1" spans="1:13">
      <c r="A1730" s="4" t="str">
        <f>"37502022022812391521964"</f>
        <v>37502022022812391521964</v>
      </c>
      <c r="B1730" s="4" t="s">
        <v>1670</v>
      </c>
      <c r="C1730" s="4" t="s">
        <v>1695</v>
      </c>
      <c r="D1730" s="4" t="str">
        <f>"20220405810"</f>
        <v>20220405810</v>
      </c>
      <c r="E1730" s="4" t="str">
        <f t="shared" si="338"/>
        <v>58</v>
      </c>
      <c r="F1730" s="4" t="str">
        <f>"10"</f>
        <v>10</v>
      </c>
      <c r="G1730" s="5">
        <v>0</v>
      </c>
      <c r="H1730" s="5" t="s">
        <v>74</v>
      </c>
      <c r="I1730" s="5">
        <v>0</v>
      </c>
      <c r="J1730" s="5" t="s">
        <v>74</v>
      </c>
      <c r="K1730" s="7">
        <v>0</v>
      </c>
      <c r="L1730" s="8">
        <v>26</v>
      </c>
      <c r="M1730" s="9"/>
    </row>
    <row r="1731" s="1" customFormat="1" ht="20.1" customHeight="1" spans="1:13">
      <c r="A1731" s="4" t="str">
        <f>"37502022022821321923009"</f>
        <v>37502022022821321923009</v>
      </c>
      <c r="B1731" s="4" t="s">
        <v>1670</v>
      </c>
      <c r="C1731" s="4" t="s">
        <v>1393</v>
      </c>
      <c r="D1731" s="4" t="str">
        <f>"20220405727"</f>
        <v>20220405727</v>
      </c>
      <c r="E1731" s="4" t="str">
        <f>"57"</f>
        <v>57</v>
      </c>
      <c r="F1731" s="4" t="str">
        <f>"27"</f>
        <v>27</v>
      </c>
      <c r="G1731" s="5">
        <v>0</v>
      </c>
      <c r="H1731" s="5" t="s">
        <v>74</v>
      </c>
      <c r="I1731" s="5">
        <v>0</v>
      </c>
      <c r="J1731" s="5" t="s">
        <v>74</v>
      </c>
      <c r="K1731" s="7">
        <v>0</v>
      </c>
      <c r="L1731" s="8">
        <v>26</v>
      </c>
      <c r="M1731" s="9"/>
    </row>
    <row r="1732" s="1" customFormat="1" ht="20.1" customHeight="1" spans="1:13">
      <c r="A1732" s="4" t="str">
        <f>"37502022022823453123085"</f>
        <v>37502022022823453123085</v>
      </c>
      <c r="B1732" s="4" t="s">
        <v>1670</v>
      </c>
      <c r="C1732" s="4" t="s">
        <v>1696</v>
      </c>
      <c r="D1732" s="4" t="str">
        <f>"20220405723"</f>
        <v>20220405723</v>
      </c>
      <c r="E1732" s="4" t="str">
        <f>"57"</f>
        <v>57</v>
      </c>
      <c r="F1732" s="4" t="str">
        <f>"23"</f>
        <v>23</v>
      </c>
      <c r="G1732" s="5">
        <v>0</v>
      </c>
      <c r="H1732" s="5" t="s">
        <v>74</v>
      </c>
      <c r="I1732" s="5">
        <v>0</v>
      </c>
      <c r="J1732" s="5" t="s">
        <v>74</v>
      </c>
      <c r="K1732" s="7">
        <v>0</v>
      </c>
      <c r="L1732" s="8">
        <v>26</v>
      </c>
      <c r="M1732" s="9"/>
    </row>
    <row r="1733" s="1" customFormat="1" ht="20.1" customHeight="1" spans="1:13">
      <c r="A1733" s="4" t="str">
        <f>"37502022030112443823664"</f>
        <v>37502022030112443823664</v>
      </c>
      <c r="B1733" s="4" t="s">
        <v>1670</v>
      </c>
      <c r="C1733" s="4" t="s">
        <v>1697</v>
      </c>
      <c r="D1733" s="4" t="str">
        <f>"20220405821"</f>
        <v>20220405821</v>
      </c>
      <c r="E1733" s="4" t="str">
        <f t="shared" ref="E1733:E1738" si="339">"58"</f>
        <v>58</v>
      </c>
      <c r="F1733" s="4" t="str">
        <f>"21"</f>
        <v>21</v>
      </c>
      <c r="G1733" s="5">
        <v>0</v>
      </c>
      <c r="H1733" s="5" t="s">
        <v>74</v>
      </c>
      <c r="I1733" s="5">
        <v>0</v>
      </c>
      <c r="J1733" s="5" t="s">
        <v>74</v>
      </c>
      <c r="K1733" s="7">
        <v>0</v>
      </c>
      <c r="L1733" s="8">
        <v>26</v>
      </c>
      <c r="M1733" s="9"/>
    </row>
    <row r="1734" s="1" customFormat="1" ht="20.1" customHeight="1" spans="1:13">
      <c r="A1734" s="4" t="str">
        <f>"37502022030113085523714"</f>
        <v>37502022030113085523714</v>
      </c>
      <c r="B1734" s="4" t="s">
        <v>1670</v>
      </c>
      <c r="C1734" s="4" t="s">
        <v>1698</v>
      </c>
      <c r="D1734" s="4" t="str">
        <f>"20220405809"</f>
        <v>20220405809</v>
      </c>
      <c r="E1734" s="4" t="str">
        <f t="shared" si="339"/>
        <v>58</v>
      </c>
      <c r="F1734" s="4" t="str">
        <f>"09"</f>
        <v>09</v>
      </c>
      <c r="G1734" s="5">
        <v>0</v>
      </c>
      <c r="H1734" s="5" t="s">
        <v>74</v>
      </c>
      <c r="I1734" s="5">
        <v>0</v>
      </c>
      <c r="J1734" s="5" t="s">
        <v>74</v>
      </c>
      <c r="K1734" s="7">
        <v>0</v>
      </c>
      <c r="L1734" s="8">
        <v>26</v>
      </c>
      <c r="M1734" s="9"/>
    </row>
    <row r="1735" s="1" customFormat="1" ht="20.1" customHeight="1" spans="1:13">
      <c r="A1735" s="4" t="str">
        <f>"37502022030117515924168"</f>
        <v>37502022030117515924168</v>
      </c>
      <c r="B1735" s="4" t="s">
        <v>1670</v>
      </c>
      <c r="C1735" s="4" t="s">
        <v>1699</v>
      </c>
      <c r="D1735" s="4" t="str">
        <f>"20220405804"</f>
        <v>20220405804</v>
      </c>
      <c r="E1735" s="4" t="str">
        <f t="shared" si="339"/>
        <v>58</v>
      </c>
      <c r="F1735" s="4" t="str">
        <f>"04"</f>
        <v>04</v>
      </c>
      <c r="G1735" s="5">
        <v>0</v>
      </c>
      <c r="H1735" s="5" t="s">
        <v>74</v>
      </c>
      <c r="I1735" s="5">
        <v>0</v>
      </c>
      <c r="J1735" s="5" t="s">
        <v>74</v>
      </c>
      <c r="K1735" s="7">
        <v>0</v>
      </c>
      <c r="L1735" s="8">
        <v>26</v>
      </c>
      <c r="M1735" s="9"/>
    </row>
    <row r="1736" s="1" customFormat="1" ht="20.1" customHeight="1" spans="1:13">
      <c r="A1736" s="4" t="str">
        <f>"37502022030120414224493"</f>
        <v>37502022030120414224493</v>
      </c>
      <c r="B1736" s="4" t="s">
        <v>1670</v>
      </c>
      <c r="C1736" s="4" t="s">
        <v>1700</v>
      </c>
      <c r="D1736" s="4" t="str">
        <f>"20220405817"</f>
        <v>20220405817</v>
      </c>
      <c r="E1736" s="4" t="str">
        <f t="shared" si="339"/>
        <v>58</v>
      </c>
      <c r="F1736" s="4" t="str">
        <f>"17"</f>
        <v>17</v>
      </c>
      <c r="G1736" s="5">
        <v>0</v>
      </c>
      <c r="H1736" s="5" t="s">
        <v>74</v>
      </c>
      <c r="I1736" s="5">
        <v>0</v>
      </c>
      <c r="J1736" s="5" t="s">
        <v>74</v>
      </c>
      <c r="K1736" s="7">
        <v>0</v>
      </c>
      <c r="L1736" s="8">
        <v>26</v>
      </c>
      <c r="M1736" s="9"/>
    </row>
    <row r="1737" s="1" customFormat="1" ht="20.1" customHeight="1" spans="1:13">
      <c r="A1737" s="4" t="str">
        <f>"37502022030212063625181"</f>
        <v>37502022030212063625181</v>
      </c>
      <c r="B1737" s="4" t="s">
        <v>1670</v>
      </c>
      <c r="C1737" s="4" t="s">
        <v>1701</v>
      </c>
      <c r="D1737" s="4" t="str">
        <f>"20220405815"</f>
        <v>20220405815</v>
      </c>
      <c r="E1737" s="4" t="str">
        <f t="shared" si="339"/>
        <v>58</v>
      </c>
      <c r="F1737" s="4" t="str">
        <f>"15"</f>
        <v>15</v>
      </c>
      <c r="G1737" s="5">
        <v>0</v>
      </c>
      <c r="H1737" s="5" t="s">
        <v>74</v>
      </c>
      <c r="I1737" s="5">
        <v>0</v>
      </c>
      <c r="J1737" s="5" t="s">
        <v>74</v>
      </c>
      <c r="K1737" s="7">
        <v>0</v>
      </c>
      <c r="L1737" s="8">
        <v>26</v>
      </c>
      <c r="M1737" s="9"/>
    </row>
    <row r="1738" s="1" customFormat="1" ht="20.1" customHeight="1" spans="1:13">
      <c r="A1738" s="4" t="str">
        <f>"37502022030217043025593"</f>
        <v>37502022030217043025593</v>
      </c>
      <c r="B1738" s="4" t="s">
        <v>1670</v>
      </c>
      <c r="C1738" s="4" t="s">
        <v>1702</v>
      </c>
      <c r="D1738" s="4" t="str">
        <f>"20220405803"</f>
        <v>20220405803</v>
      </c>
      <c r="E1738" s="4" t="str">
        <f t="shared" si="339"/>
        <v>58</v>
      </c>
      <c r="F1738" s="4" t="str">
        <f>"03"</f>
        <v>03</v>
      </c>
      <c r="G1738" s="5">
        <v>0</v>
      </c>
      <c r="H1738" s="5" t="s">
        <v>74</v>
      </c>
      <c r="I1738" s="5">
        <v>0</v>
      </c>
      <c r="J1738" s="5" t="s">
        <v>74</v>
      </c>
      <c r="K1738" s="7">
        <v>0</v>
      </c>
      <c r="L1738" s="8">
        <v>26</v>
      </c>
      <c r="M1738" s="9"/>
    </row>
    <row r="1739" s="1" customFormat="1" ht="20.1" customHeight="1" spans="1:13">
      <c r="A1739" s="4" t="str">
        <f>"37502022022808025421285"</f>
        <v>37502022022808025421285</v>
      </c>
      <c r="B1739" s="4" t="s">
        <v>1703</v>
      </c>
      <c r="C1739" s="4" t="s">
        <v>1704</v>
      </c>
      <c r="D1739" s="4" t="str">
        <f>"20220415919"</f>
        <v>20220415919</v>
      </c>
      <c r="E1739" s="4" t="str">
        <f t="shared" ref="E1739:E1746" si="340">"59"</f>
        <v>59</v>
      </c>
      <c r="F1739" s="4" t="str">
        <f>"19"</f>
        <v>19</v>
      </c>
      <c r="G1739" s="5">
        <v>82.07</v>
      </c>
      <c r="H1739" s="5" t="s">
        <v>14</v>
      </c>
      <c r="I1739" s="5">
        <v>79.2</v>
      </c>
      <c r="J1739" s="5" t="s">
        <v>14</v>
      </c>
      <c r="K1739" s="7">
        <v>80.06</v>
      </c>
      <c r="L1739" s="8">
        <v>1</v>
      </c>
      <c r="M1739" s="9"/>
    </row>
    <row r="1740" s="1" customFormat="1" ht="20.1" customHeight="1" spans="1:13">
      <c r="A1740" s="4" t="str">
        <f>"37502022022619435819569"</f>
        <v>37502022022619435819569</v>
      </c>
      <c r="B1740" s="4" t="s">
        <v>1703</v>
      </c>
      <c r="C1740" s="4" t="s">
        <v>1164</v>
      </c>
      <c r="D1740" s="4" t="str">
        <f>"20220415918"</f>
        <v>20220415918</v>
      </c>
      <c r="E1740" s="4" t="str">
        <f t="shared" si="340"/>
        <v>59</v>
      </c>
      <c r="F1740" s="4" t="str">
        <f>"18"</f>
        <v>18</v>
      </c>
      <c r="G1740" s="5">
        <v>74.53</v>
      </c>
      <c r="H1740" s="5" t="s">
        <v>14</v>
      </c>
      <c r="I1740" s="5">
        <v>80.6</v>
      </c>
      <c r="J1740" s="5" t="s">
        <v>14</v>
      </c>
      <c r="K1740" s="7">
        <v>78.78</v>
      </c>
      <c r="L1740" s="8">
        <v>2</v>
      </c>
      <c r="M1740" s="9"/>
    </row>
    <row r="1741" s="1" customFormat="1" ht="20.1" customHeight="1" spans="1:13">
      <c r="A1741" s="4" t="str">
        <f>"37502022030116590424087"</f>
        <v>37502022030116590424087</v>
      </c>
      <c r="B1741" s="4" t="s">
        <v>1703</v>
      </c>
      <c r="C1741" s="4" t="s">
        <v>1705</v>
      </c>
      <c r="D1741" s="4" t="str">
        <f>"20220415905"</f>
        <v>20220415905</v>
      </c>
      <c r="E1741" s="4" t="str">
        <f t="shared" si="340"/>
        <v>59</v>
      </c>
      <c r="F1741" s="4" t="str">
        <f>"05"</f>
        <v>05</v>
      </c>
      <c r="G1741" s="5">
        <v>71.15</v>
      </c>
      <c r="H1741" s="5" t="s">
        <v>14</v>
      </c>
      <c r="I1741" s="5">
        <v>78.6</v>
      </c>
      <c r="J1741" s="5" t="s">
        <v>14</v>
      </c>
      <c r="K1741" s="7">
        <v>76.37</v>
      </c>
      <c r="L1741" s="8">
        <v>3</v>
      </c>
      <c r="M1741" s="9"/>
    </row>
    <row r="1742" s="1" customFormat="1" ht="20.1" customHeight="1" spans="1:13">
      <c r="A1742" s="4" t="str">
        <f>"37502022022610585518973"</f>
        <v>37502022022610585518973</v>
      </c>
      <c r="B1742" s="4" t="s">
        <v>1703</v>
      </c>
      <c r="C1742" s="4" t="s">
        <v>1706</v>
      </c>
      <c r="D1742" s="4" t="str">
        <f>"20220415921"</f>
        <v>20220415921</v>
      </c>
      <c r="E1742" s="4" t="str">
        <f t="shared" si="340"/>
        <v>59</v>
      </c>
      <c r="F1742" s="4" t="str">
        <f>"21"</f>
        <v>21</v>
      </c>
      <c r="G1742" s="5">
        <v>73.08</v>
      </c>
      <c r="H1742" s="5" t="s">
        <v>14</v>
      </c>
      <c r="I1742" s="5">
        <v>76.3</v>
      </c>
      <c r="J1742" s="5" t="s">
        <v>14</v>
      </c>
      <c r="K1742" s="7">
        <v>75.33</v>
      </c>
      <c r="L1742" s="8">
        <v>4</v>
      </c>
      <c r="M1742" s="9"/>
    </row>
    <row r="1743" s="1" customFormat="1" ht="20.1" customHeight="1" spans="1:13">
      <c r="A1743" s="4" t="str">
        <f>"37502022030218325525709"</f>
        <v>37502022030218325525709</v>
      </c>
      <c r="B1743" s="4" t="s">
        <v>1703</v>
      </c>
      <c r="C1743" s="4" t="s">
        <v>1707</v>
      </c>
      <c r="D1743" s="4" t="str">
        <f>"20220415917"</f>
        <v>20220415917</v>
      </c>
      <c r="E1743" s="4" t="str">
        <f t="shared" si="340"/>
        <v>59</v>
      </c>
      <c r="F1743" s="4" t="str">
        <f>"17"</f>
        <v>17</v>
      </c>
      <c r="G1743" s="5">
        <v>79.5</v>
      </c>
      <c r="H1743" s="5" t="s">
        <v>14</v>
      </c>
      <c r="I1743" s="5">
        <v>73.1</v>
      </c>
      <c r="J1743" s="5" t="s">
        <v>14</v>
      </c>
      <c r="K1743" s="7">
        <v>75.02</v>
      </c>
      <c r="L1743" s="8">
        <v>5</v>
      </c>
      <c r="M1743" s="9"/>
    </row>
    <row r="1744" s="1" customFormat="1" ht="20.1" customHeight="1" spans="1:13">
      <c r="A1744" s="4" t="str">
        <f>"37502022030208303424831"</f>
        <v>37502022030208303424831</v>
      </c>
      <c r="B1744" s="4" t="s">
        <v>1703</v>
      </c>
      <c r="C1744" s="4" t="s">
        <v>1708</v>
      </c>
      <c r="D1744" s="4" t="str">
        <f>"20220415915"</f>
        <v>20220415915</v>
      </c>
      <c r="E1744" s="4" t="str">
        <f t="shared" si="340"/>
        <v>59</v>
      </c>
      <c r="F1744" s="4" t="str">
        <f>"15"</f>
        <v>15</v>
      </c>
      <c r="G1744" s="5">
        <v>74.14</v>
      </c>
      <c r="H1744" s="5" t="s">
        <v>14</v>
      </c>
      <c r="I1744" s="5">
        <v>74.2</v>
      </c>
      <c r="J1744" s="5" t="s">
        <v>14</v>
      </c>
      <c r="K1744" s="7">
        <v>74.18</v>
      </c>
      <c r="L1744" s="8">
        <v>6</v>
      </c>
      <c r="M1744" s="9"/>
    </row>
    <row r="1745" s="1" customFormat="1" ht="20.1" customHeight="1" spans="1:13">
      <c r="A1745" s="4" t="str">
        <f>"37502022030211561825170"</f>
        <v>37502022030211561825170</v>
      </c>
      <c r="B1745" s="4" t="s">
        <v>1703</v>
      </c>
      <c r="C1745" s="4" t="s">
        <v>1709</v>
      </c>
      <c r="D1745" s="4" t="str">
        <f>"20220415924"</f>
        <v>20220415924</v>
      </c>
      <c r="E1745" s="4" t="str">
        <f t="shared" si="340"/>
        <v>59</v>
      </c>
      <c r="F1745" s="4" t="str">
        <f>"24"</f>
        <v>24</v>
      </c>
      <c r="G1745" s="5">
        <v>62.35</v>
      </c>
      <c r="H1745" s="5" t="s">
        <v>14</v>
      </c>
      <c r="I1745" s="5">
        <v>78.3</v>
      </c>
      <c r="J1745" s="5" t="s">
        <v>14</v>
      </c>
      <c r="K1745" s="7">
        <v>73.52</v>
      </c>
      <c r="L1745" s="8">
        <v>7</v>
      </c>
      <c r="M1745" s="9"/>
    </row>
    <row r="1746" s="1" customFormat="1" ht="20.1" customHeight="1" spans="1:13">
      <c r="A1746" s="4" t="str">
        <f>"37502022022610131718869"</f>
        <v>37502022022610131718869</v>
      </c>
      <c r="B1746" s="4" t="s">
        <v>1703</v>
      </c>
      <c r="C1746" s="4" t="s">
        <v>1710</v>
      </c>
      <c r="D1746" s="4" t="str">
        <f>"20220415922"</f>
        <v>20220415922</v>
      </c>
      <c r="E1746" s="4" t="str">
        <f t="shared" si="340"/>
        <v>59</v>
      </c>
      <c r="F1746" s="4" t="str">
        <f>"22"</f>
        <v>22</v>
      </c>
      <c r="G1746" s="5">
        <v>72.71</v>
      </c>
      <c r="H1746" s="5" t="s">
        <v>14</v>
      </c>
      <c r="I1746" s="5">
        <v>73.3</v>
      </c>
      <c r="J1746" s="5" t="s">
        <v>14</v>
      </c>
      <c r="K1746" s="7">
        <v>73.12</v>
      </c>
      <c r="L1746" s="8">
        <v>8</v>
      </c>
      <c r="M1746" s="9"/>
    </row>
    <row r="1747" s="1" customFormat="1" ht="20.1" customHeight="1" spans="1:13">
      <c r="A1747" s="4" t="str">
        <f>"37502022022721290320934"</f>
        <v>37502022022721290320934</v>
      </c>
      <c r="B1747" s="4" t="s">
        <v>1703</v>
      </c>
      <c r="C1747" s="4" t="s">
        <v>1711</v>
      </c>
      <c r="D1747" s="4" t="str">
        <f>"20220415830"</f>
        <v>20220415830</v>
      </c>
      <c r="E1747" s="4" t="str">
        <f>"58"</f>
        <v>58</v>
      </c>
      <c r="F1747" s="4" t="str">
        <f>"30"</f>
        <v>30</v>
      </c>
      <c r="G1747" s="5">
        <v>67.28</v>
      </c>
      <c r="H1747" s="5" t="s">
        <v>14</v>
      </c>
      <c r="I1747" s="5">
        <v>75.5</v>
      </c>
      <c r="J1747" s="5" t="s">
        <v>14</v>
      </c>
      <c r="K1747" s="7">
        <v>73.03</v>
      </c>
      <c r="L1747" s="8">
        <v>9</v>
      </c>
      <c r="M1747" s="9"/>
    </row>
    <row r="1748" s="1" customFormat="1" ht="20.1" customHeight="1" spans="1:13">
      <c r="A1748" s="4" t="str">
        <f>"37502022022614102619212"</f>
        <v>37502022022614102619212</v>
      </c>
      <c r="B1748" s="4" t="s">
        <v>1703</v>
      </c>
      <c r="C1748" s="4" t="s">
        <v>1712</v>
      </c>
      <c r="D1748" s="4" t="str">
        <f>"20220415911"</f>
        <v>20220415911</v>
      </c>
      <c r="E1748" s="4" t="str">
        <f t="shared" ref="E1748:E1754" si="341">"59"</f>
        <v>59</v>
      </c>
      <c r="F1748" s="4" t="str">
        <f>"11"</f>
        <v>11</v>
      </c>
      <c r="G1748" s="5">
        <v>73.23</v>
      </c>
      <c r="H1748" s="5" t="s">
        <v>14</v>
      </c>
      <c r="I1748" s="5">
        <v>69.7</v>
      </c>
      <c r="J1748" s="5" t="s">
        <v>14</v>
      </c>
      <c r="K1748" s="7">
        <v>70.76</v>
      </c>
      <c r="L1748" s="8">
        <v>10</v>
      </c>
      <c r="M1748" s="9"/>
    </row>
    <row r="1749" s="1" customFormat="1" ht="20.1" customHeight="1" spans="1:13">
      <c r="A1749" s="4" t="str">
        <f>"37502022030100095023090"</f>
        <v>37502022030100095023090</v>
      </c>
      <c r="B1749" s="4" t="s">
        <v>1703</v>
      </c>
      <c r="C1749" s="4" t="s">
        <v>1713</v>
      </c>
      <c r="D1749" s="4" t="str">
        <f>"20220415923"</f>
        <v>20220415923</v>
      </c>
      <c r="E1749" s="4" t="str">
        <f t="shared" si="341"/>
        <v>59</v>
      </c>
      <c r="F1749" s="4" t="str">
        <f>"23"</f>
        <v>23</v>
      </c>
      <c r="G1749" s="5">
        <v>71.74</v>
      </c>
      <c r="H1749" s="5" t="s">
        <v>14</v>
      </c>
      <c r="I1749" s="5">
        <v>70.3</v>
      </c>
      <c r="J1749" s="5" t="s">
        <v>14</v>
      </c>
      <c r="K1749" s="7">
        <v>70.73</v>
      </c>
      <c r="L1749" s="8">
        <v>11</v>
      </c>
      <c r="M1749" s="9"/>
    </row>
    <row r="1750" s="1" customFormat="1" ht="20.1" customHeight="1" spans="1:13">
      <c r="A1750" s="4" t="str">
        <f>"37502022022719384820692"</f>
        <v>37502022022719384820692</v>
      </c>
      <c r="B1750" s="4" t="s">
        <v>1703</v>
      </c>
      <c r="C1750" s="4" t="s">
        <v>1394</v>
      </c>
      <c r="D1750" s="4" t="str">
        <f>"20220415916"</f>
        <v>20220415916</v>
      </c>
      <c r="E1750" s="4" t="str">
        <f t="shared" si="341"/>
        <v>59</v>
      </c>
      <c r="F1750" s="4" t="str">
        <f>"16"</f>
        <v>16</v>
      </c>
      <c r="G1750" s="5">
        <v>68.22</v>
      </c>
      <c r="H1750" s="5" t="s">
        <v>14</v>
      </c>
      <c r="I1750" s="5">
        <v>71</v>
      </c>
      <c r="J1750" s="5" t="s">
        <v>14</v>
      </c>
      <c r="K1750" s="7">
        <v>70.17</v>
      </c>
      <c r="L1750" s="8">
        <v>12</v>
      </c>
      <c r="M1750" s="9"/>
    </row>
    <row r="1751" s="1" customFormat="1" ht="20.1" customHeight="1" spans="1:13">
      <c r="A1751" s="4" t="str">
        <f>"37502022022811320521801"</f>
        <v>37502022022811320521801</v>
      </c>
      <c r="B1751" s="4" t="s">
        <v>1703</v>
      </c>
      <c r="C1751" s="4" t="s">
        <v>1714</v>
      </c>
      <c r="D1751" s="4" t="str">
        <f>"20220415909"</f>
        <v>20220415909</v>
      </c>
      <c r="E1751" s="4" t="str">
        <f t="shared" si="341"/>
        <v>59</v>
      </c>
      <c r="F1751" s="4" t="str">
        <f>"09"</f>
        <v>09</v>
      </c>
      <c r="G1751" s="5">
        <v>69.61</v>
      </c>
      <c r="H1751" s="5" t="s">
        <v>14</v>
      </c>
      <c r="I1751" s="5">
        <v>70</v>
      </c>
      <c r="J1751" s="5" t="s">
        <v>14</v>
      </c>
      <c r="K1751" s="7">
        <v>69.88</v>
      </c>
      <c r="L1751" s="8">
        <v>13</v>
      </c>
      <c r="M1751" s="9"/>
    </row>
    <row r="1752" s="1" customFormat="1" ht="20.1" customHeight="1" spans="1:13">
      <c r="A1752" s="4" t="str">
        <f>"37502022022610485018961"</f>
        <v>37502022022610485018961</v>
      </c>
      <c r="B1752" s="4" t="s">
        <v>1703</v>
      </c>
      <c r="C1752" s="4" t="s">
        <v>1715</v>
      </c>
      <c r="D1752" s="4" t="str">
        <f>"20220415920"</f>
        <v>20220415920</v>
      </c>
      <c r="E1752" s="4" t="str">
        <f t="shared" si="341"/>
        <v>59</v>
      </c>
      <c r="F1752" s="4" t="str">
        <f>"20"</f>
        <v>20</v>
      </c>
      <c r="G1752" s="5">
        <v>59.43</v>
      </c>
      <c r="H1752" s="5" t="s">
        <v>14</v>
      </c>
      <c r="I1752" s="5">
        <v>73.9</v>
      </c>
      <c r="J1752" s="5" t="s">
        <v>14</v>
      </c>
      <c r="K1752" s="7">
        <v>69.56</v>
      </c>
      <c r="L1752" s="8">
        <v>14</v>
      </c>
      <c r="M1752" s="9"/>
    </row>
    <row r="1753" s="1" customFormat="1" ht="20.1" customHeight="1" spans="1:13">
      <c r="A1753" s="4" t="str">
        <f>"37502022030121144424560"</f>
        <v>37502022030121144424560</v>
      </c>
      <c r="B1753" s="4" t="s">
        <v>1703</v>
      </c>
      <c r="C1753" s="4" t="s">
        <v>1716</v>
      </c>
      <c r="D1753" s="4" t="str">
        <f>"20220415906"</f>
        <v>20220415906</v>
      </c>
      <c r="E1753" s="4" t="str">
        <f t="shared" si="341"/>
        <v>59</v>
      </c>
      <c r="F1753" s="4" t="str">
        <f>"06"</f>
        <v>06</v>
      </c>
      <c r="G1753" s="5">
        <v>70.81</v>
      </c>
      <c r="H1753" s="5" t="s">
        <v>14</v>
      </c>
      <c r="I1753" s="5">
        <v>67.9</v>
      </c>
      <c r="J1753" s="5" t="s">
        <v>14</v>
      </c>
      <c r="K1753" s="7">
        <v>68.77</v>
      </c>
      <c r="L1753" s="8">
        <v>15</v>
      </c>
      <c r="M1753" s="9"/>
    </row>
    <row r="1754" s="1" customFormat="1" ht="20.1" customHeight="1" spans="1:13">
      <c r="A1754" s="4" t="str">
        <f>"37502022030210314025026"</f>
        <v>37502022030210314025026</v>
      </c>
      <c r="B1754" s="4" t="s">
        <v>1703</v>
      </c>
      <c r="C1754" s="4" t="s">
        <v>1717</v>
      </c>
      <c r="D1754" s="4" t="str">
        <f>"20220415908"</f>
        <v>20220415908</v>
      </c>
      <c r="E1754" s="4" t="str">
        <f t="shared" si="341"/>
        <v>59</v>
      </c>
      <c r="F1754" s="4" t="str">
        <f>"08"</f>
        <v>08</v>
      </c>
      <c r="G1754" s="5">
        <v>64.37</v>
      </c>
      <c r="H1754" s="5" t="s">
        <v>14</v>
      </c>
      <c r="I1754" s="5">
        <v>70.5</v>
      </c>
      <c r="J1754" s="5" t="s">
        <v>14</v>
      </c>
      <c r="K1754" s="7">
        <v>68.66</v>
      </c>
      <c r="L1754" s="8">
        <v>16</v>
      </c>
      <c r="M1754" s="9"/>
    </row>
    <row r="1755" s="1" customFormat="1" ht="20.1" customHeight="1" spans="1:13">
      <c r="A1755" s="4" t="str">
        <f>"37502022030213102625278"</f>
        <v>37502022030213102625278</v>
      </c>
      <c r="B1755" s="4" t="s">
        <v>1703</v>
      </c>
      <c r="C1755" s="4" t="s">
        <v>1718</v>
      </c>
      <c r="D1755" s="4" t="str">
        <f>"20220415827"</f>
        <v>20220415827</v>
      </c>
      <c r="E1755" s="4" t="str">
        <f>"58"</f>
        <v>58</v>
      </c>
      <c r="F1755" s="4" t="str">
        <f>"27"</f>
        <v>27</v>
      </c>
      <c r="G1755" s="5">
        <v>56.41</v>
      </c>
      <c r="H1755" s="5" t="s">
        <v>14</v>
      </c>
      <c r="I1755" s="5">
        <v>73</v>
      </c>
      <c r="J1755" s="5" t="s">
        <v>14</v>
      </c>
      <c r="K1755" s="7">
        <v>68.02</v>
      </c>
      <c r="L1755" s="8">
        <v>17</v>
      </c>
      <c r="M1755" s="9"/>
    </row>
    <row r="1756" s="1" customFormat="1" ht="20.1" customHeight="1" spans="1:13">
      <c r="A1756" s="4" t="str">
        <f>"37502022022711484520049"</f>
        <v>37502022022711484520049</v>
      </c>
      <c r="B1756" s="4" t="s">
        <v>1703</v>
      </c>
      <c r="C1756" s="4" t="s">
        <v>1719</v>
      </c>
      <c r="D1756" s="4" t="str">
        <f>"20220415927"</f>
        <v>20220415927</v>
      </c>
      <c r="E1756" s="4" t="str">
        <f t="shared" ref="E1756:E1765" si="342">"59"</f>
        <v>59</v>
      </c>
      <c r="F1756" s="4" t="str">
        <f>"27"</f>
        <v>27</v>
      </c>
      <c r="G1756" s="5">
        <v>67.15</v>
      </c>
      <c r="H1756" s="5" t="s">
        <v>14</v>
      </c>
      <c r="I1756" s="5">
        <v>65.6</v>
      </c>
      <c r="J1756" s="5" t="s">
        <v>14</v>
      </c>
      <c r="K1756" s="7">
        <v>66.07</v>
      </c>
      <c r="L1756" s="8">
        <v>18</v>
      </c>
      <c r="M1756" s="9"/>
    </row>
    <row r="1757" s="1" customFormat="1" ht="20.1" customHeight="1" spans="1:13">
      <c r="A1757" s="4" t="str">
        <f>"37502022022812431521977"</f>
        <v>37502022022812431521977</v>
      </c>
      <c r="B1757" s="4" t="s">
        <v>1703</v>
      </c>
      <c r="C1757" s="4" t="s">
        <v>1720</v>
      </c>
      <c r="D1757" s="4" t="str">
        <f>"20220415828"</f>
        <v>20220415828</v>
      </c>
      <c r="E1757" s="4" t="str">
        <f>"58"</f>
        <v>58</v>
      </c>
      <c r="F1757" s="4" t="str">
        <f>"28"</f>
        <v>28</v>
      </c>
      <c r="G1757" s="5">
        <v>64.85</v>
      </c>
      <c r="H1757" s="5" t="s">
        <v>14</v>
      </c>
      <c r="I1757" s="5">
        <v>65.5</v>
      </c>
      <c r="J1757" s="5" t="s">
        <v>14</v>
      </c>
      <c r="K1757" s="7">
        <v>65.31</v>
      </c>
      <c r="L1757" s="8">
        <v>19</v>
      </c>
      <c r="M1757" s="9"/>
    </row>
    <row r="1758" s="1" customFormat="1" ht="20.1" customHeight="1" spans="1:13">
      <c r="A1758" s="4" t="str">
        <f>"37502022030216124825519"</f>
        <v>37502022030216124825519</v>
      </c>
      <c r="B1758" s="4" t="s">
        <v>1703</v>
      </c>
      <c r="C1758" s="4" t="s">
        <v>1721</v>
      </c>
      <c r="D1758" s="4" t="str">
        <f>"20220415903"</f>
        <v>20220415903</v>
      </c>
      <c r="E1758" s="4" t="str">
        <f t="shared" si="342"/>
        <v>59</v>
      </c>
      <c r="F1758" s="4" t="str">
        <f>"03"</f>
        <v>03</v>
      </c>
      <c r="G1758" s="5">
        <v>70.93</v>
      </c>
      <c r="H1758" s="5" t="s">
        <v>14</v>
      </c>
      <c r="I1758" s="5">
        <v>61.6</v>
      </c>
      <c r="J1758" s="5" t="s">
        <v>14</v>
      </c>
      <c r="K1758" s="7">
        <v>64.4</v>
      </c>
      <c r="L1758" s="8">
        <v>20</v>
      </c>
      <c r="M1758" s="9"/>
    </row>
    <row r="1759" s="1" customFormat="1" ht="20.1" customHeight="1" spans="1:13">
      <c r="A1759" s="4" t="str">
        <f>"37502022030115072223882"</f>
        <v>37502022030115072223882</v>
      </c>
      <c r="B1759" s="4" t="s">
        <v>1703</v>
      </c>
      <c r="C1759" s="4" t="s">
        <v>1722</v>
      </c>
      <c r="D1759" s="4" t="str">
        <f>"20220415902"</f>
        <v>20220415902</v>
      </c>
      <c r="E1759" s="4" t="str">
        <f t="shared" si="342"/>
        <v>59</v>
      </c>
      <c r="F1759" s="4" t="str">
        <f>"02"</f>
        <v>02</v>
      </c>
      <c r="G1759" s="5">
        <v>64.8</v>
      </c>
      <c r="H1759" s="5" t="s">
        <v>14</v>
      </c>
      <c r="I1759" s="5">
        <v>58.4</v>
      </c>
      <c r="J1759" s="5" t="s">
        <v>14</v>
      </c>
      <c r="K1759" s="7">
        <v>60.32</v>
      </c>
      <c r="L1759" s="8">
        <v>21</v>
      </c>
      <c r="M1759" s="9"/>
    </row>
    <row r="1760" s="1" customFormat="1" ht="20.1" customHeight="1" spans="1:13">
      <c r="A1760" s="4" t="str">
        <f>"37502022022609500218795"</f>
        <v>37502022022609500218795</v>
      </c>
      <c r="B1760" s="4" t="s">
        <v>1703</v>
      </c>
      <c r="C1760" s="4" t="s">
        <v>1723</v>
      </c>
      <c r="D1760" s="4" t="str">
        <f>"20220415907"</f>
        <v>20220415907</v>
      </c>
      <c r="E1760" s="4" t="str">
        <f t="shared" si="342"/>
        <v>59</v>
      </c>
      <c r="F1760" s="4" t="str">
        <f>"07"</f>
        <v>07</v>
      </c>
      <c r="G1760" s="5">
        <v>0</v>
      </c>
      <c r="H1760" s="5" t="s">
        <v>74</v>
      </c>
      <c r="I1760" s="5">
        <v>0</v>
      </c>
      <c r="J1760" s="5" t="s">
        <v>74</v>
      </c>
      <c r="K1760" s="7">
        <v>0</v>
      </c>
      <c r="L1760" s="8">
        <v>22</v>
      </c>
      <c r="M1760" s="9"/>
    </row>
    <row r="1761" s="1" customFormat="1" ht="20.1" customHeight="1" spans="1:13">
      <c r="A1761" s="4" t="str">
        <f>"37502022022611081618987"</f>
        <v>37502022022611081618987</v>
      </c>
      <c r="B1761" s="4" t="s">
        <v>1703</v>
      </c>
      <c r="C1761" s="4" t="s">
        <v>1724</v>
      </c>
      <c r="D1761" s="4" t="str">
        <f>"20220415912"</f>
        <v>20220415912</v>
      </c>
      <c r="E1761" s="4" t="str">
        <f t="shared" si="342"/>
        <v>59</v>
      </c>
      <c r="F1761" s="4" t="str">
        <f>"12"</f>
        <v>12</v>
      </c>
      <c r="G1761" s="5">
        <v>0</v>
      </c>
      <c r="H1761" s="5" t="s">
        <v>74</v>
      </c>
      <c r="I1761" s="5">
        <v>0</v>
      </c>
      <c r="J1761" s="5" t="s">
        <v>74</v>
      </c>
      <c r="K1761" s="7">
        <v>0</v>
      </c>
      <c r="L1761" s="8">
        <v>22</v>
      </c>
      <c r="M1761" s="9"/>
    </row>
    <row r="1762" s="1" customFormat="1" ht="20.1" customHeight="1" spans="1:13">
      <c r="A1762" s="4" t="str">
        <f>"37502022022817430022804"</f>
        <v>37502022022817430022804</v>
      </c>
      <c r="B1762" s="4" t="s">
        <v>1703</v>
      </c>
      <c r="C1762" s="4" t="s">
        <v>1725</v>
      </c>
      <c r="D1762" s="4" t="str">
        <f>"20220415925"</f>
        <v>20220415925</v>
      </c>
      <c r="E1762" s="4" t="str">
        <f t="shared" si="342"/>
        <v>59</v>
      </c>
      <c r="F1762" s="4" t="str">
        <f>"25"</f>
        <v>25</v>
      </c>
      <c r="G1762" s="5">
        <v>0</v>
      </c>
      <c r="H1762" s="5" t="s">
        <v>74</v>
      </c>
      <c r="I1762" s="5">
        <v>0</v>
      </c>
      <c r="J1762" s="5" t="s">
        <v>74</v>
      </c>
      <c r="K1762" s="7">
        <v>0</v>
      </c>
      <c r="L1762" s="8">
        <v>22</v>
      </c>
      <c r="M1762" s="9"/>
    </row>
    <row r="1763" s="1" customFormat="1" ht="20.1" customHeight="1" spans="1:13">
      <c r="A1763" s="4" t="str">
        <f>"37502022022821255523005"</f>
        <v>37502022022821255523005</v>
      </c>
      <c r="B1763" s="4" t="s">
        <v>1703</v>
      </c>
      <c r="C1763" s="4" t="s">
        <v>1726</v>
      </c>
      <c r="D1763" s="4" t="str">
        <f>"20220415928"</f>
        <v>20220415928</v>
      </c>
      <c r="E1763" s="4" t="str">
        <f t="shared" si="342"/>
        <v>59</v>
      </c>
      <c r="F1763" s="4" t="str">
        <f>"28"</f>
        <v>28</v>
      </c>
      <c r="G1763" s="5">
        <v>0</v>
      </c>
      <c r="H1763" s="5" t="s">
        <v>74</v>
      </c>
      <c r="I1763" s="5">
        <v>0</v>
      </c>
      <c r="J1763" s="5" t="s">
        <v>74</v>
      </c>
      <c r="K1763" s="7">
        <v>0</v>
      </c>
      <c r="L1763" s="8">
        <v>22</v>
      </c>
      <c r="M1763" s="9"/>
    </row>
    <row r="1764" s="1" customFormat="1" ht="20.1" customHeight="1" spans="1:13">
      <c r="A1764" s="4" t="str">
        <f>"37502022030116432224051"</f>
        <v>37502022030116432224051</v>
      </c>
      <c r="B1764" s="4" t="s">
        <v>1703</v>
      </c>
      <c r="C1764" s="4" t="s">
        <v>1727</v>
      </c>
      <c r="D1764" s="4" t="str">
        <f>"20220415910"</f>
        <v>20220415910</v>
      </c>
      <c r="E1764" s="4" t="str">
        <f t="shared" si="342"/>
        <v>59</v>
      </c>
      <c r="F1764" s="4" t="str">
        <f>"10"</f>
        <v>10</v>
      </c>
      <c r="G1764" s="5">
        <v>0</v>
      </c>
      <c r="H1764" s="5" t="s">
        <v>74</v>
      </c>
      <c r="I1764" s="5">
        <v>0</v>
      </c>
      <c r="J1764" s="5" t="s">
        <v>74</v>
      </c>
      <c r="K1764" s="7">
        <v>0</v>
      </c>
      <c r="L1764" s="8">
        <v>22</v>
      </c>
      <c r="M1764" s="9"/>
    </row>
    <row r="1765" s="1" customFormat="1" ht="20.1" customHeight="1" spans="1:13">
      <c r="A1765" s="4" t="str">
        <f>"37502022030116492324063"</f>
        <v>37502022030116492324063</v>
      </c>
      <c r="B1765" s="4" t="s">
        <v>1703</v>
      </c>
      <c r="C1765" s="4" t="s">
        <v>1321</v>
      </c>
      <c r="D1765" s="4" t="str">
        <f>"20220415926"</f>
        <v>20220415926</v>
      </c>
      <c r="E1765" s="4" t="str">
        <f t="shared" si="342"/>
        <v>59</v>
      </c>
      <c r="F1765" s="4" t="str">
        <f>"26"</f>
        <v>26</v>
      </c>
      <c r="G1765" s="5">
        <v>0</v>
      </c>
      <c r="H1765" s="5" t="s">
        <v>74</v>
      </c>
      <c r="I1765" s="5">
        <v>0</v>
      </c>
      <c r="J1765" s="5" t="s">
        <v>74</v>
      </c>
      <c r="K1765" s="7">
        <v>0</v>
      </c>
      <c r="L1765" s="8">
        <v>22</v>
      </c>
      <c r="M1765" s="9"/>
    </row>
    <row r="1766" s="1" customFormat="1" ht="20.1" customHeight="1" spans="1:13">
      <c r="A1766" s="4" t="str">
        <f>"37502022030207584824809"</f>
        <v>37502022030207584824809</v>
      </c>
      <c r="B1766" s="4" t="s">
        <v>1703</v>
      </c>
      <c r="C1766" s="4" t="s">
        <v>1728</v>
      </c>
      <c r="D1766" s="4" t="str">
        <f>"20220415829"</f>
        <v>20220415829</v>
      </c>
      <c r="E1766" s="4" t="str">
        <f>"58"</f>
        <v>58</v>
      </c>
      <c r="F1766" s="4" t="str">
        <f>"29"</f>
        <v>29</v>
      </c>
      <c r="G1766" s="5">
        <v>0</v>
      </c>
      <c r="H1766" s="5" t="s">
        <v>74</v>
      </c>
      <c r="I1766" s="5">
        <v>0</v>
      </c>
      <c r="J1766" s="5" t="s">
        <v>74</v>
      </c>
      <c r="K1766" s="7">
        <v>0</v>
      </c>
      <c r="L1766" s="8">
        <v>22</v>
      </c>
      <c r="M1766" s="9"/>
    </row>
    <row r="1767" s="1" customFormat="1" ht="20.1" customHeight="1" spans="1:13">
      <c r="A1767" s="4" t="str">
        <f>"37502022030208552224863"</f>
        <v>37502022030208552224863</v>
      </c>
      <c r="B1767" s="4" t="s">
        <v>1703</v>
      </c>
      <c r="C1767" s="4" t="s">
        <v>1729</v>
      </c>
      <c r="D1767" s="4" t="str">
        <f>"20220415904"</f>
        <v>20220415904</v>
      </c>
      <c r="E1767" s="4" t="str">
        <f t="shared" ref="E1767:E1770" si="343">"59"</f>
        <v>59</v>
      </c>
      <c r="F1767" s="4" t="str">
        <f>"04"</f>
        <v>04</v>
      </c>
      <c r="G1767" s="5">
        <v>0</v>
      </c>
      <c r="H1767" s="5" t="s">
        <v>74</v>
      </c>
      <c r="I1767" s="5">
        <v>0</v>
      </c>
      <c r="J1767" s="5" t="s">
        <v>74</v>
      </c>
      <c r="K1767" s="7">
        <v>0</v>
      </c>
      <c r="L1767" s="8">
        <v>22</v>
      </c>
      <c r="M1767" s="9"/>
    </row>
    <row r="1768" s="1" customFormat="1" ht="20.1" customHeight="1" spans="1:13">
      <c r="A1768" s="4" t="str">
        <f>"37502022030211212325115"</f>
        <v>37502022030211212325115</v>
      </c>
      <c r="B1768" s="4" t="s">
        <v>1703</v>
      </c>
      <c r="C1768" s="4" t="s">
        <v>1730</v>
      </c>
      <c r="D1768" s="4" t="str">
        <f>"20220415913"</f>
        <v>20220415913</v>
      </c>
      <c r="E1768" s="4" t="str">
        <f t="shared" si="343"/>
        <v>59</v>
      </c>
      <c r="F1768" s="4" t="str">
        <f>"13"</f>
        <v>13</v>
      </c>
      <c r="G1768" s="5">
        <v>0</v>
      </c>
      <c r="H1768" s="5" t="s">
        <v>74</v>
      </c>
      <c r="I1768" s="5">
        <v>0</v>
      </c>
      <c r="J1768" s="5" t="s">
        <v>74</v>
      </c>
      <c r="K1768" s="7">
        <v>0</v>
      </c>
      <c r="L1768" s="8">
        <v>22</v>
      </c>
      <c r="M1768" s="9"/>
    </row>
    <row r="1769" s="1" customFormat="1" ht="20.1" customHeight="1" spans="1:13">
      <c r="A1769" s="4" t="str">
        <f>"37502022030217145325605"</f>
        <v>37502022030217145325605</v>
      </c>
      <c r="B1769" s="4" t="s">
        <v>1703</v>
      </c>
      <c r="C1769" s="4" t="s">
        <v>1731</v>
      </c>
      <c r="D1769" s="4" t="str">
        <f>"20220415914"</f>
        <v>20220415914</v>
      </c>
      <c r="E1769" s="4" t="str">
        <f t="shared" si="343"/>
        <v>59</v>
      </c>
      <c r="F1769" s="4" t="str">
        <f>"14"</f>
        <v>14</v>
      </c>
      <c r="G1769" s="5">
        <v>0</v>
      </c>
      <c r="H1769" s="5" t="s">
        <v>74</v>
      </c>
      <c r="I1769" s="5">
        <v>0</v>
      </c>
      <c r="J1769" s="5" t="s">
        <v>74</v>
      </c>
      <c r="K1769" s="7">
        <v>0</v>
      </c>
      <c r="L1769" s="8">
        <v>22</v>
      </c>
      <c r="M1769" s="9"/>
    </row>
    <row r="1770" s="1" customFormat="1" ht="20.1" customHeight="1" spans="1:13">
      <c r="A1770" s="4" t="str">
        <f>"37502022030218310125708"</f>
        <v>37502022030218310125708</v>
      </c>
      <c r="B1770" s="4" t="s">
        <v>1703</v>
      </c>
      <c r="C1770" s="4" t="s">
        <v>1732</v>
      </c>
      <c r="D1770" s="4" t="str">
        <f>"20220415901"</f>
        <v>20220415901</v>
      </c>
      <c r="E1770" s="4" t="str">
        <f t="shared" si="343"/>
        <v>59</v>
      </c>
      <c r="F1770" s="4" t="str">
        <f>"01"</f>
        <v>01</v>
      </c>
      <c r="G1770" s="5">
        <v>0</v>
      </c>
      <c r="H1770" s="5" t="s">
        <v>74</v>
      </c>
      <c r="I1770" s="5">
        <v>0</v>
      </c>
      <c r="J1770" s="5" t="s">
        <v>74</v>
      </c>
      <c r="K1770" s="7">
        <v>0</v>
      </c>
      <c r="L1770" s="8">
        <v>22</v>
      </c>
      <c r="M1770" s="9"/>
    </row>
    <row r="1771" s="1" customFormat="1" ht="20.1" customHeight="1" spans="1:13">
      <c r="A1771" s="4" t="str">
        <f>"37502022022608370518645"</f>
        <v>37502022022608370518645</v>
      </c>
      <c r="B1771" s="4" t="s">
        <v>1733</v>
      </c>
      <c r="C1771" s="4" t="s">
        <v>1734</v>
      </c>
      <c r="D1771" s="4" t="str">
        <f>"20220426021"</f>
        <v>20220426021</v>
      </c>
      <c r="E1771" s="4" t="str">
        <f t="shared" ref="E1771:E1775" si="344">"60"</f>
        <v>60</v>
      </c>
      <c r="F1771" s="4" t="str">
        <f>"21"</f>
        <v>21</v>
      </c>
      <c r="G1771" s="5">
        <v>76.89</v>
      </c>
      <c r="H1771" s="5" t="s">
        <v>14</v>
      </c>
      <c r="I1771" s="5">
        <v>77.7</v>
      </c>
      <c r="J1771" s="5" t="s">
        <v>14</v>
      </c>
      <c r="K1771" s="7">
        <v>77.46</v>
      </c>
      <c r="L1771" s="8">
        <v>1</v>
      </c>
      <c r="M1771" s="9"/>
    </row>
    <row r="1772" s="1" customFormat="1" ht="20.1" customHeight="1" spans="1:13">
      <c r="A1772" s="4" t="str">
        <f>"37502022030110305723405"</f>
        <v>37502022030110305723405</v>
      </c>
      <c r="B1772" s="4" t="s">
        <v>1733</v>
      </c>
      <c r="C1772" s="4" t="s">
        <v>1735</v>
      </c>
      <c r="D1772" s="4" t="str">
        <f>"20220426007"</f>
        <v>20220426007</v>
      </c>
      <c r="E1772" s="4" t="str">
        <f t="shared" si="344"/>
        <v>60</v>
      </c>
      <c r="F1772" s="4" t="str">
        <f>"07"</f>
        <v>07</v>
      </c>
      <c r="G1772" s="5">
        <v>78.32</v>
      </c>
      <c r="H1772" s="5" t="s">
        <v>14</v>
      </c>
      <c r="I1772" s="5">
        <v>76.8</v>
      </c>
      <c r="J1772" s="5" t="s">
        <v>14</v>
      </c>
      <c r="K1772" s="7">
        <v>77.26</v>
      </c>
      <c r="L1772" s="8">
        <v>2</v>
      </c>
      <c r="M1772" s="9"/>
    </row>
    <row r="1773" s="1" customFormat="1" ht="20.1" customHeight="1" spans="1:13">
      <c r="A1773" s="4" t="str">
        <f>"37502022022609505218796"</f>
        <v>37502022022609505218796</v>
      </c>
      <c r="B1773" s="4" t="s">
        <v>1733</v>
      </c>
      <c r="C1773" s="4" t="s">
        <v>1736</v>
      </c>
      <c r="D1773" s="4" t="str">
        <f>"20220426022"</f>
        <v>20220426022</v>
      </c>
      <c r="E1773" s="4" t="str">
        <f t="shared" si="344"/>
        <v>60</v>
      </c>
      <c r="F1773" s="4" t="str">
        <f>"22"</f>
        <v>22</v>
      </c>
      <c r="G1773" s="5">
        <v>77.51</v>
      </c>
      <c r="H1773" s="5" t="s">
        <v>14</v>
      </c>
      <c r="I1773" s="5">
        <v>74.9</v>
      </c>
      <c r="J1773" s="5" t="s">
        <v>14</v>
      </c>
      <c r="K1773" s="7">
        <v>75.68</v>
      </c>
      <c r="L1773" s="8">
        <v>3</v>
      </c>
      <c r="M1773" s="9"/>
    </row>
    <row r="1774" s="1" customFormat="1" ht="20.1" customHeight="1" spans="1:13">
      <c r="A1774" s="4" t="str">
        <f>"37502022030215025425439"</f>
        <v>37502022030215025425439</v>
      </c>
      <c r="B1774" s="4" t="s">
        <v>1733</v>
      </c>
      <c r="C1774" s="4" t="s">
        <v>1737</v>
      </c>
      <c r="D1774" s="4" t="str">
        <f>"20220426012"</f>
        <v>20220426012</v>
      </c>
      <c r="E1774" s="4" t="str">
        <f t="shared" si="344"/>
        <v>60</v>
      </c>
      <c r="F1774" s="4" t="str">
        <f>"12"</f>
        <v>12</v>
      </c>
      <c r="G1774" s="5">
        <v>66.69</v>
      </c>
      <c r="H1774" s="5" t="s">
        <v>14</v>
      </c>
      <c r="I1774" s="5">
        <v>78.3</v>
      </c>
      <c r="J1774" s="5" t="s">
        <v>14</v>
      </c>
      <c r="K1774" s="7">
        <v>74.82</v>
      </c>
      <c r="L1774" s="8">
        <v>4</v>
      </c>
      <c r="M1774" s="9"/>
    </row>
    <row r="1775" s="1" customFormat="1" ht="20.1" customHeight="1" spans="1:13">
      <c r="A1775" s="4" t="str">
        <f>"37502022022813414822149"</f>
        <v>37502022022813414822149</v>
      </c>
      <c r="B1775" s="4" t="s">
        <v>1733</v>
      </c>
      <c r="C1775" s="4" t="s">
        <v>1738</v>
      </c>
      <c r="D1775" s="4" t="str">
        <f>"20220426009"</f>
        <v>20220426009</v>
      </c>
      <c r="E1775" s="4" t="str">
        <f t="shared" si="344"/>
        <v>60</v>
      </c>
      <c r="F1775" s="4" t="str">
        <f>"09"</f>
        <v>09</v>
      </c>
      <c r="G1775" s="5">
        <v>78.49</v>
      </c>
      <c r="H1775" s="5" t="s">
        <v>14</v>
      </c>
      <c r="I1775" s="5">
        <v>72.5</v>
      </c>
      <c r="J1775" s="5" t="s">
        <v>14</v>
      </c>
      <c r="K1775" s="7">
        <v>74.3</v>
      </c>
      <c r="L1775" s="8">
        <v>5</v>
      </c>
      <c r="M1775" s="9"/>
    </row>
    <row r="1776" s="1" customFormat="1" ht="20.1" customHeight="1" spans="1:13">
      <c r="A1776" s="4" t="str">
        <f>"37502022030110243123386"</f>
        <v>37502022030110243123386</v>
      </c>
      <c r="B1776" s="4" t="s">
        <v>1733</v>
      </c>
      <c r="C1776" s="4" t="s">
        <v>1739</v>
      </c>
      <c r="D1776" s="4" t="str">
        <f>"20220425929"</f>
        <v>20220425929</v>
      </c>
      <c r="E1776" s="4" t="str">
        <f>"59"</f>
        <v>59</v>
      </c>
      <c r="F1776" s="4" t="str">
        <f>"29"</f>
        <v>29</v>
      </c>
      <c r="G1776" s="5">
        <v>78.99</v>
      </c>
      <c r="H1776" s="5" t="s">
        <v>14</v>
      </c>
      <c r="I1776" s="5">
        <v>72.1</v>
      </c>
      <c r="J1776" s="5" t="s">
        <v>14</v>
      </c>
      <c r="K1776" s="7">
        <v>74.17</v>
      </c>
      <c r="L1776" s="8">
        <v>6</v>
      </c>
      <c r="M1776" s="9"/>
    </row>
    <row r="1777" s="1" customFormat="1" ht="20.1" customHeight="1" spans="1:13">
      <c r="A1777" s="4" t="str">
        <f>"37502022030215213125465"</f>
        <v>37502022030215213125465</v>
      </c>
      <c r="B1777" s="4" t="s">
        <v>1733</v>
      </c>
      <c r="C1777" s="4" t="s">
        <v>1740</v>
      </c>
      <c r="D1777" s="4" t="str">
        <f>"20220426006"</f>
        <v>20220426006</v>
      </c>
      <c r="E1777" s="4" t="str">
        <f t="shared" ref="E1777:E1797" si="345">"60"</f>
        <v>60</v>
      </c>
      <c r="F1777" s="4" t="str">
        <f>"06"</f>
        <v>06</v>
      </c>
      <c r="G1777" s="5">
        <v>80.54</v>
      </c>
      <c r="H1777" s="5" t="s">
        <v>14</v>
      </c>
      <c r="I1777" s="5">
        <v>70.9</v>
      </c>
      <c r="J1777" s="5" t="s">
        <v>14</v>
      </c>
      <c r="K1777" s="7">
        <v>73.79</v>
      </c>
      <c r="L1777" s="8">
        <v>7</v>
      </c>
      <c r="M1777" s="9"/>
    </row>
    <row r="1778" s="1" customFormat="1" ht="20.1" customHeight="1" spans="1:13">
      <c r="A1778" s="4" t="str">
        <f>"37502022022610102818850"</f>
        <v>37502022022610102818850</v>
      </c>
      <c r="B1778" s="4" t="s">
        <v>1733</v>
      </c>
      <c r="C1778" s="4" t="s">
        <v>1741</v>
      </c>
      <c r="D1778" s="4" t="str">
        <f>"20220426014"</f>
        <v>20220426014</v>
      </c>
      <c r="E1778" s="4" t="str">
        <f t="shared" si="345"/>
        <v>60</v>
      </c>
      <c r="F1778" s="4" t="str">
        <f>"14"</f>
        <v>14</v>
      </c>
      <c r="G1778" s="5">
        <v>72.72</v>
      </c>
      <c r="H1778" s="5" t="s">
        <v>14</v>
      </c>
      <c r="I1778" s="5">
        <v>74.1</v>
      </c>
      <c r="J1778" s="5" t="s">
        <v>14</v>
      </c>
      <c r="K1778" s="7">
        <v>73.69</v>
      </c>
      <c r="L1778" s="8">
        <v>8</v>
      </c>
      <c r="M1778" s="9"/>
    </row>
    <row r="1779" s="1" customFormat="1" ht="20.1" customHeight="1" spans="1:13">
      <c r="A1779" s="4" t="str">
        <f>"37502022030110161123361"</f>
        <v>37502022030110161123361</v>
      </c>
      <c r="B1779" s="4" t="s">
        <v>1733</v>
      </c>
      <c r="C1779" s="4" t="s">
        <v>1742</v>
      </c>
      <c r="D1779" s="4" t="str">
        <f>"20220426004"</f>
        <v>20220426004</v>
      </c>
      <c r="E1779" s="4" t="str">
        <f t="shared" si="345"/>
        <v>60</v>
      </c>
      <c r="F1779" s="4" t="str">
        <f>"04"</f>
        <v>04</v>
      </c>
      <c r="G1779" s="5">
        <v>66.85</v>
      </c>
      <c r="H1779" s="5" t="s">
        <v>14</v>
      </c>
      <c r="I1779" s="5">
        <v>76.6</v>
      </c>
      <c r="J1779" s="5" t="s">
        <v>14</v>
      </c>
      <c r="K1779" s="7">
        <v>73.68</v>
      </c>
      <c r="L1779" s="8">
        <v>9</v>
      </c>
      <c r="M1779" s="9"/>
    </row>
    <row r="1780" s="1" customFormat="1" ht="20.1" customHeight="1" spans="1:13">
      <c r="A1780" s="4" t="str">
        <f>"37502022030121103124553"</f>
        <v>37502022030121103124553</v>
      </c>
      <c r="B1780" s="4" t="s">
        <v>1733</v>
      </c>
      <c r="C1780" s="4" t="s">
        <v>1071</v>
      </c>
      <c r="D1780" s="4" t="str">
        <f>"20220426025"</f>
        <v>20220426025</v>
      </c>
      <c r="E1780" s="4" t="str">
        <f t="shared" si="345"/>
        <v>60</v>
      </c>
      <c r="F1780" s="4" t="str">
        <f>"25"</f>
        <v>25</v>
      </c>
      <c r="G1780" s="5">
        <v>65.63</v>
      </c>
      <c r="H1780" s="5" t="s">
        <v>14</v>
      </c>
      <c r="I1780" s="5">
        <v>77.1</v>
      </c>
      <c r="J1780" s="5" t="s">
        <v>14</v>
      </c>
      <c r="K1780" s="7">
        <v>73.66</v>
      </c>
      <c r="L1780" s="8">
        <v>10</v>
      </c>
      <c r="M1780" s="9"/>
    </row>
    <row r="1781" s="1" customFormat="1" ht="20.1" customHeight="1" spans="1:13">
      <c r="A1781" s="4" t="str">
        <f>"37502022022808194721309"</f>
        <v>37502022022808194721309</v>
      </c>
      <c r="B1781" s="4" t="s">
        <v>1733</v>
      </c>
      <c r="C1781" s="4" t="s">
        <v>1743</v>
      </c>
      <c r="D1781" s="4" t="str">
        <f>"20220426019"</f>
        <v>20220426019</v>
      </c>
      <c r="E1781" s="4" t="str">
        <f t="shared" si="345"/>
        <v>60</v>
      </c>
      <c r="F1781" s="4" t="str">
        <f>"19"</f>
        <v>19</v>
      </c>
      <c r="G1781" s="5">
        <v>81.39</v>
      </c>
      <c r="H1781" s="5" t="s">
        <v>14</v>
      </c>
      <c r="I1781" s="5">
        <v>70.1</v>
      </c>
      <c r="J1781" s="5" t="s">
        <v>14</v>
      </c>
      <c r="K1781" s="7">
        <v>73.49</v>
      </c>
      <c r="L1781" s="8">
        <v>11</v>
      </c>
      <c r="M1781" s="9"/>
    </row>
    <row r="1782" s="1" customFormat="1" ht="20.1" customHeight="1" spans="1:13">
      <c r="A1782" s="4" t="str">
        <f>"37502022030111461823568"</f>
        <v>37502022030111461823568</v>
      </c>
      <c r="B1782" s="4" t="s">
        <v>1733</v>
      </c>
      <c r="C1782" s="4" t="s">
        <v>1744</v>
      </c>
      <c r="D1782" s="4" t="str">
        <f>"20220426001"</f>
        <v>20220426001</v>
      </c>
      <c r="E1782" s="4" t="str">
        <f t="shared" si="345"/>
        <v>60</v>
      </c>
      <c r="F1782" s="4" t="str">
        <f>"01"</f>
        <v>01</v>
      </c>
      <c r="G1782" s="5">
        <v>70.43</v>
      </c>
      <c r="H1782" s="5" t="s">
        <v>14</v>
      </c>
      <c r="I1782" s="5">
        <v>74.7</v>
      </c>
      <c r="J1782" s="5" t="s">
        <v>14</v>
      </c>
      <c r="K1782" s="7">
        <v>73.42</v>
      </c>
      <c r="L1782" s="8">
        <v>12</v>
      </c>
      <c r="M1782" s="9"/>
    </row>
    <row r="1783" s="1" customFormat="1" ht="20.1" customHeight="1" spans="1:13">
      <c r="A1783" s="4" t="str">
        <f>"37502022030221074925987"</f>
        <v>37502022030221074925987</v>
      </c>
      <c r="B1783" s="4" t="s">
        <v>1733</v>
      </c>
      <c r="C1783" s="4" t="s">
        <v>1745</v>
      </c>
      <c r="D1783" s="4" t="str">
        <f>"20220426013"</f>
        <v>20220426013</v>
      </c>
      <c r="E1783" s="4" t="str">
        <f t="shared" si="345"/>
        <v>60</v>
      </c>
      <c r="F1783" s="4" t="str">
        <f>"13"</f>
        <v>13</v>
      </c>
      <c r="G1783" s="5">
        <v>69.59</v>
      </c>
      <c r="H1783" s="5" t="s">
        <v>14</v>
      </c>
      <c r="I1783" s="5">
        <v>73.1</v>
      </c>
      <c r="J1783" s="5" t="s">
        <v>14</v>
      </c>
      <c r="K1783" s="7">
        <v>72.05</v>
      </c>
      <c r="L1783" s="8">
        <v>13</v>
      </c>
      <c r="M1783" s="9"/>
    </row>
    <row r="1784" s="1" customFormat="1" ht="20.1" customHeight="1" spans="1:13">
      <c r="A1784" s="4" t="str">
        <f>"37502022022610135818875"</f>
        <v>37502022022610135818875</v>
      </c>
      <c r="B1784" s="4" t="s">
        <v>1733</v>
      </c>
      <c r="C1784" s="4" t="s">
        <v>1746</v>
      </c>
      <c r="D1784" s="4" t="str">
        <f>"20220426008"</f>
        <v>20220426008</v>
      </c>
      <c r="E1784" s="4" t="str">
        <f t="shared" si="345"/>
        <v>60</v>
      </c>
      <c r="F1784" s="4" t="str">
        <f>"08"</f>
        <v>08</v>
      </c>
      <c r="G1784" s="5">
        <v>71.85</v>
      </c>
      <c r="H1784" s="5" t="s">
        <v>14</v>
      </c>
      <c r="I1784" s="5">
        <v>71.4</v>
      </c>
      <c r="J1784" s="5" t="s">
        <v>14</v>
      </c>
      <c r="K1784" s="7">
        <v>71.54</v>
      </c>
      <c r="L1784" s="8">
        <v>14</v>
      </c>
      <c r="M1784" s="9"/>
    </row>
    <row r="1785" s="1" customFormat="1" ht="20.1" customHeight="1" spans="1:13">
      <c r="A1785" s="4" t="str">
        <f>"37502022030118121524200"</f>
        <v>37502022030118121524200</v>
      </c>
      <c r="B1785" s="4" t="s">
        <v>1733</v>
      </c>
      <c r="C1785" s="4" t="s">
        <v>1747</v>
      </c>
      <c r="D1785" s="4" t="str">
        <f>"20220426005"</f>
        <v>20220426005</v>
      </c>
      <c r="E1785" s="4" t="str">
        <f t="shared" si="345"/>
        <v>60</v>
      </c>
      <c r="F1785" s="4" t="str">
        <f>"05"</f>
        <v>05</v>
      </c>
      <c r="G1785" s="5">
        <v>64.66</v>
      </c>
      <c r="H1785" s="5" t="s">
        <v>14</v>
      </c>
      <c r="I1785" s="5">
        <v>73.6</v>
      </c>
      <c r="J1785" s="5" t="s">
        <v>14</v>
      </c>
      <c r="K1785" s="7">
        <v>70.92</v>
      </c>
      <c r="L1785" s="8">
        <v>15</v>
      </c>
      <c r="M1785" s="9"/>
    </row>
    <row r="1786" s="1" customFormat="1" ht="20.1" customHeight="1" spans="1:13">
      <c r="A1786" s="4" t="str">
        <f>"37502022030110341623411"</f>
        <v>37502022030110341623411</v>
      </c>
      <c r="B1786" s="4" t="s">
        <v>1733</v>
      </c>
      <c r="C1786" s="4" t="s">
        <v>1748</v>
      </c>
      <c r="D1786" s="4" t="str">
        <f>"20220426018"</f>
        <v>20220426018</v>
      </c>
      <c r="E1786" s="4" t="str">
        <f t="shared" si="345"/>
        <v>60</v>
      </c>
      <c r="F1786" s="4" t="str">
        <f>"18"</f>
        <v>18</v>
      </c>
      <c r="G1786" s="5">
        <v>63.28</v>
      </c>
      <c r="H1786" s="5" t="s">
        <v>14</v>
      </c>
      <c r="I1786" s="5">
        <v>69.3</v>
      </c>
      <c r="J1786" s="5" t="s">
        <v>14</v>
      </c>
      <c r="K1786" s="7">
        <v>67.49</v>
      </c>
      <c r="L1786" s="8">
        <v>16</v>
      </c>
      <c r="M1786" s="9"/>
    </row>
    <row r="1787" s="1" customFormat="1" ht="20.1" customHeight="1" spans="1:13">
      <c r="A1787" s="4" t="str">
        <f>"37502022022712311320099"</f>
        <v>37502022022712311320099</v>
      </c>
      <c r="B1787" s="4" t="s">
        <v>1733</v>
      </c>
      <c r="C1787" s="4" t="s">
        <v>1749</v>
      </c>
      <c r="D1787" s="4" t="str">
        <f>"20220426023"</f>
        <v>20220426023</v>
      </c>
      <c r="E1787" s="4" t="str">
        <f t="shared" si="345"/>
        <v>60</v>
      </c>
      <c r="F1787" s="4" t="str">
        <f>"23"</f>
        <v>23</v>
      </c>
      <c r="G1787" s="5">
        <v>67.28</v>
      </c>
      <c r="H1787" s="5" t="s">
        <v>14</v>
      </c>
      <c r="I1787" s="5">
        <v>67.5</v>
      </c>
      <c r="J1787" s="5" t="s">
        <v>14</v>
      </c>
      <c r="K1787" s="7">
        <v>67.43</v>
      </c>
      <c r="L1787" s="8">
        <v>17</v>
      </c>
      <c r="M1787" s="9"/>
    </row>
    <row r="1788" s="1" customFormat="1" ht="20.1" customHeight="1" spans="1:13">
      <c r="A1788" s="4" t="str">
        <f>"37502022030122050924651"</f>
        <v>37502022030122050924651</v>
      </c>
      <c r="B1788" s="4" t="s">
        <v>1733</v>
      </c>
      <c r="C1788" s="4" t="s">
        <v>1750</v>
      </c>
      <c r="D1788" s="4" t="str">
        <f>"20220426016"</f>
        <v>20220426016</v>
      </c>
      <c r="E1788" s="4" t="str">
        <f t="shared" si="345"/>
        <v>60</v>
      </c>
      <c r="F1788" s="4" t="str">
        <f>"16"</f>
        <v>16</v>
      </c>
      <c r="G1788" s="5">
        <v>61.68</v>
      </c>
      <c r="H1788" s="5" t="s">
        <v>14</v>
      </c>
      <c r="I1788" s="5">
        <v>67.5</v>
      </c>
      <c r="J1788" s="5" t="s">
        <v>14</v>
      </c>
      <c r="K1788" s="7">
        <v>65.75</v>
      </c>
      <c r="L1788" s="8">
        <v>18</v>
      </c>
      <c r="M1788" s="9"/>
    </row>
    <row r="1789" s="1" customFormat="1" ht="20.1" customHeight="1" spans="1:13">
      <c r="A1789" s="4" t="str">
        <f>"37502022030110060723339"</f>
        <v>37502022030110060723339</v>
      </c>
      <c r="B1789" s="4" t="s">
        <v>1733</v>
      </c>
      <c r="C1789" s="4" t="s">
        <v>1751</v>
      </c>
      <c r="D1789" s="4" t="str">
        <f>"20220426017"</f>
        <v>20220426017</v>
      </c>
      <c r="E1789" s="4" t="str">
        <f t="shared" si="345"/>
        <v>60</v>
      </c>
      <c r="F1789" s="4" t="str">
        <f>"17"</f>
        <v>17</v>
      </c>
      <c r="G1789" s="5">
        <v>67.51</v>
      </c>
      <c r="H1789" s="5" t="s">
        <v>14</v>
      </c>
      <c r="I1789" s="5">
        <v>64.1</v>
      </c>
      <c r="J1789" s="5" t="s">
        <v>14</v>
      </c>
      <c r="K1789" s="7">
        <v>65.12</v>
      </c>
      <c r="L1789" s="8">
        <v>19</v>
      </c>
      <c r="M1789" s="9"/>
    </row>
    <row r="1790" s="1" customFormat="1" ht="20.1" customHeight="1" spans="1:13">
      <c r="A1790" s="4" t="str">
        <f>"37502022030218430225728"</f>
        <v>37502022030218430225728</v>
      </c>
      <c r="B1790" s="4" t="s">
        <v>1733</v>
      </c>
      <c r="C1790" s="4" t="s">
        <v>1752</v>
      </c>
      <c r="D1790" s="4" t="str">
        <f>"20220426015"</f>
        <v>20220426015</v>
      </c>
      <c r="E1790" s="4" t="str">
        <f t="shared" si="345"/>
        <v>60</v>
      </c>
      <c r="F1790" s="4" t="str">
        <f>"15"</f>
        <v>15</v>
      </c>
      <c r="G1790" s="5">
        <v>61.71</v>
      </c>
      <c r="H1790" s="5" t="s">
        <v>14</v>
      </c>
      <c r="I1790" s="5">
        <v>64.9</v>
      </c>
      <c r="J1790" s="5" t="s">
        <v>14</v>
      </c>
      <c r="K1790" s="7">
        <v>63.94</v>
      </c>
      <c r="L1790" s="8">
        <v>20</v>
      </c>
      <c r="M1790" s="9"/>
    </row>
    <row r="1791" s="1" customFormat="1" ht="20.1" customHeight="1" spans="1:13">
      <c r="A1791" s="4" t="str">
        <f>"37502022022710174919938"</f>
        <v>37502022022710174919938</v>
      </c>
      <c r="B1791" s="4" t="s">
        <v>1733</v>
      </c>
      <c r="C1791" s="4" t="s">
        <v>1753</v>
      </c>
      <c r="D1791" s="4" t="str">
        <f>"20220426003"</f>
        <v>20220426003</v>
      </c>
      <c r="E1791" s="4" t="str">
        <f t="shared" si="345"/>
        <v>60</v>
      </c>
      <c r="F1791" s="4" t="str">
        <f>"03"</f>
        <v>03</v>
      </c>
      <c r="G1791" s="5">
        <v>0</v>
      </c>
      <c r="H1791" s="5" t="s">
        <v>74</v>
      </c>
      <c r="I1791" s="5">
        <v>0</v>
      </c>
      <c r="J1791" s="5" t="s">
        <v>74</v>
      </c>
      <c r="K1791" s="7">
        <v>0</v>
      </c>
      <c r="L1791" s="8">
        <v>21</v>
      </c>
      <c r="M1791" s="9"/>
    </row>
    <row r="1792" s="1" customFormat="1" ht="20.1" customHeight="1" spans="1:13">
      <c r="A1792" s="4" t="str">
        <f>"37502022022721265920929"</f>
        <v>37502022022721265920929</v>
      </c>
      <c r="B1792" s="4" t="s">
        <v>1733</v>
      </c>
      <c r="C1792" s="4" t="s">
        <v>1754</v>
      </c>
      <c r="D1792" s="4" t="str">
        <f>"20220426020"</f>
        <v>20220426020</v>
      </c>
      <c r="E1792" s="4" t="str">
        <f t="shared" si="345"/>
        <v>60</v>
      </c>
      <c r="F1792" s="4" t="str">
        <f>"20"</f>
        <v>20</v>
      </c>
      <c r="G1792" s="5">
        <v>0</v>
      </c>
      <c r="H1792" s="5" t="s">
        <v>74</v>
      </c>
      <c r="I1792" s="5">
        <v>0</v>
      </c>
      <c r="J1792" s="5" t="s">
        <v>74</v>
      </c>
      <c r="K1792" s="7">
        <v>0</v>
      </c>
      <c r="L1792" s="8">
        <v>21</v>
      </c>
      <c r="M1792" s="9"/>
    </row>
    <row r="1793" s="1" customFormat="1" ht="20.1" customHeight="1" spans="1:13">
      <c r="A1793" s="4" t="str">
        <f>"37502022030111304323538"</f>
        <v>37502022030111304323538</v>
      </c>
      <c r="B1793" s="4" t="s">
        <v>1733</v>
      </c>
      <c r="C1793" s="4" t="s">
        <v>1755</v>
      </c>
      <c r="D1793" s="4" t="str">
        <f>"20220426027"</f>
        <v>20220426027</v>
      </c>
      <c r="E1793" s="4" t="str">
        <f t="shared" si="345"/>
        <v>60</v>
      </c>
      <c r="F1793" s="4" t="str">
        <f>"27"</f>
        <v>27</v>
      </c>
      <c r="G1793" s="5">
        <v>0</v>
      </c>
      <c r="H1793" s="5" t="s">
        <v>74</v>
      </c>
      <c r="I1793" s="5">
        <v>0</v>
      </c>
      <c r="J1793" s="5" t="s">
        <v>74</v>
      </c>
      <c r="K1793" s="7">
        <v>0</v>
      </c>
      <c r="L1793" s="8">
        <v>21</v>
      </c>
      <c r="M1793" s="9"/>
    </row>
    <row r="1794" s="1" customFormat="1" ht="20.1" customHeight="1" spans="1:13">
      <c r="A1794" s="4" t="str">
        <f>"37502022030117092224108"</f>
        <v>37502022030117092224108</v>
      </c>
      <c r="B1794" s="4" t="s">
        <v>1733</v>
      </c>
      <c r="C1794" s="4" t="s">
        <v>1756</v>
      </c>
      <c r="D1794" s="4" t="str">
        <f>"20220426010"</f>
        <v>20220426010</v>
      </c>
      <c r="E1794" s="4" t="str">
        <f t="shared" si="345"/>
        <v>60</v>
      </c>
      <c r="F1794" s="4" t="str">
        <f>"10"</f>
        <v>10</v>
      </c>
      <c r="G1794" s="5">
        <v>0</v>
      </c>
      <c r="H1794" s="5" t="s">
        <v>74</v>
      </c>
      <c r="I1794" s="5">
        <v>0</v>
      </c>
      <c r="J1794" s="5" t="s">
        <v>74</v>
      </c>
      <c r="K1794" s="7">
        <v>0</v>
      </c>
      <c r="L1794" s="8">
        <v>21</v>
      </c>
      <c r="M1794" s="9"/>
    </row>
    <row r="1795" s="1" customFormat="1" ht="20.1" customHeight="1" spans="1:13">
      <c r="A1795" s="4" t="str">
        <f>"37502022030120531724517"</f>
        <v>37502022030120531724517</v>
      </c>
      <c r="B1795" s="4" t="s">
        <v>1733</v>
      </c>
      <c r="C1795" s="4" t="s">
        <v>1757</v>
      </c>
      <c r="D1795" s="4" t="str">
        <f>"20220426026"</f>
        <v>20220426026</v>
      </c>
      <c r="E1795" s="4" t="str">
        <f t="shared" si="345"/>
        <v>60</v>
      </c>
      <c r="F1795" s="4" t="str">
        <f>"26"</f>
        <v>26</v>
      </c>
      <c r="G1795" s="5">
        <v>0</v>
      </c>
      <c r="H1795" s="5" t="s">
        <v>74</v>
      </c>
      <c r="I1795" s="5">
        <v>0</v>
      </c>
      <c r="J1795" s="5" t="s">
        <v>74</v>
      </c>
      <c r="K1795" s="7">
        <v>0</v>
      </c>
      <c r="L1795" s="8">
        <v>21</v>
      </c>
      <c r="M1795" s="9"/>
    </row>
    <row r="1796" s="1" customFormat="1" ht="20.1" customHeight="1" spans="1:13">
      <c r="A1796" s="4" t="str">
        <f>"37502022030121263024577"</f>
        <v>37502022030121263024577</v>
      </c>
      <c r="B1796" s="4" t="s">
        <v>1733</v>
      </c>
      <c r="C1796" s="4" t="s">
        <v>1758</v>
      </c>
      <c r="D1796" s="4" t="str">
        <f>"20220426024"</f>
        <v>20220426024</v>
      </c>
      <c r="E1796" s="4" t="str">
        <f t="shared" si="345"/>
        <v>60</v>
      </c>
      <c r="F1796" s="4" t="str">
        <f>"24"</f>
        <v>24</v>
      </c>
      <c r="G1796" s="5">
        <v>0</v>
      </c>
      <c r="H1796" s="5" t="s">
        <v>74</v>
      </c>
      <c r="I1796" s="5">
        <v>0</v>
      </c>
      <c r="J1796" s="5" t="s">
        <v>74</v>
      </c>
      <c r="K1796" s="7">
        <v>0</v>
      </c>
      <c r="L1796" s="8">
        <v>21</v>
      </c>
      <c r="M1796" s="9"/>
    </row>
    <row r="1797" s="1" customFormat="1" ht="20.1" customHeight="1" spans="1:13">
      <c r="A1797" s="4" t="str">
        <f>"37502022030121472324621"</f>
        <v>37502022030121472324621</v>
      </c>
      <c r="B1797" s="4" t="s">
        <v>1733</v>
      </c>
      <c r="C1797" s="4" t="s">
        <v>1759</v>
      </c>
      <c r="D1797" s="4" t="str">
        <f>"20220426002"</f>
        <v>20220426002</v>
      </c>
      <c r="E1797" s="4" t="str">
        <f t="shared" si="345"/>
        <v>60</v>
      </c>
      <c r="F1797" s="4" t="str">
        <f>"02"</f>
        <v>02</v>
      </c>
      <c r="G1797" s="5">
        <v>0</v>
      </c>
      <c r="H1797" s="5" t="s">
        <v>74</v>
      </c>
      <c r="I1797" s="5">
        <v>0</v>
      </c>
      <c r="J1797" s="5" t="s">
        <v>74</v>
      </c>
      <c r="K1797" s="7">
        <v>0</v>
      </c>
      <c r="L1797" s="8">
        <v>21</v>
      </c>
      <c r="M1797" s="9"/>
    </row>
    <row r="1798" s="1" customFormat="1" ht="20.1" customHeight="1" spans="1:13">
      <c r="A1798" s="4" t="str">
        <f>"37502022030215503825499"</f>
        <v>37502022030215503825499</v>
      </c>
      <c r="B1798" s="4" t="s">
        <v>1733</v>
      </c>
      <c r="C1798" s="4" t="s">
        <v>1760</v>
      </c>
      <c r="D1798" s="4" t="str">
        <f>"20220425930"</f>
        <v>20220425930</v>
      </c>
      <c r="E1798" s="4" t="str">
        <f>"59"</f>
        <v>59</v>
      </c>
      <c r="F1798" s="4" t="str">
        <f>"30"</f>
        <v>30</v>
      </c>
      <c r="G1798" s="5">
        <v>0</v>
      </c>
      <c r="H1798" s="5" t="s">
        <v>74</v>
      </c>
      <c r="I1798" s="5">
        <v>0</v>
      </c>
      <c r="J1798" s="5" t="s">
        <v>74</v>
      </c>
      <c r="K1798" s="7">
        <v>0</v>
      </c>
      <c r="L1798" s="8">
        <v>21</v>
      </c>
      <c r="M1798" s="9"/>
    </row>
    <row r="1799" s="1" customFormat="1" ht="20.1" customHeight="1" spans="1:13">
      <c r="A1799" s="4" t="str">
        <f>"37502022030219262325809"</f>
        <v>37502022030219262325809</v>
      </c>
      <c r="B1799" s="4" t="s">
        <v>1733</v>
      </c>
      <c r="C1799" s="4" t="s">
        <v>1761</v>
      </c>
      <c r="D1799" s="4" t="str">
        <f>"20220426011"</f>
        <v>20220426011</v>
      </c>
      <c r="E1799" s="4" t="str">
        <f>"60"</f>
        <v>60</v>
      </c>
      <c r="F1799" s="4" t="str">
        <f>"11"</f>
        <v>11</v>
      </c>
      <c r="G1799" s="5">
        <v>0</v>
      </c>
      <c r="H1799" s="5" t="s">
        <v>74</v>
      </c>
      <c r="I1799" s="5">
        <v>0</v>
      </c>
      <c r="J1799" s="5" t="s">
        <v>74</v>
      </c>
      <c r="K1799" s="7">
        <v>0</v>
      </c>
      <c r="L1799" s="8">
        <v>21</v>
      </c>
      <c r="M1799" s="9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2022-06-28T02:18:00Z</dcterms:created>
  <dcterms:modified xsi:type="dcterms:W3CDTF">2022-06-28T08:50:17Z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63942A3C93CF41559F0660FFEFAA7DB5</vt:lpwstr>
  </property>
  <property fmtid="{D5CDD505-2E9C-101B-9397-08002B2CF9AE}" pid="3" name="KSOProductBuildVer">
    <vt:lpwstr>2052-11.1.0.11830</vt:lpwstr>
  </property>
</Properties>
</file>