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Sheet2" sheetId="2" r:id="rId1"/>
    <sheet name="Sheet3" sheetId="3" r:id="rId2"/>
  </sheets>
  <definedNames>
    <definedName name="_xlnm.Print_Titles" localSheetId="0">Sheet2!$1:$2</definedName>
  </definedNames>
  <calcPr calcId="125725"/>
</workbook>
</file>

<file path=xl/calcChain.xml><?xml version="1.0" encoding="utf-8"?>
<calcChain xmlns="http://schemas.openxmlformats.org/spreadsheetml/2006/main">
  <c r="I146" i="2"/>
  <c r="J146" s="1"/>
  <c r="L146" s="1"/>
  <c r="E146"/>
  <c r="D146"/>
  <c r="B146"/>
  <c r="I145"/>
  <c r="J145" s="1"/>
  <c r="L145" s="1"/>
  <c r="E145"/>
  <c r="D145"/>
  <c r="B145"/>
  <c r="I144"/>
  <c r="J144" s="1"/>
  <c r="L144" s="1"/>
  <c r="E144"/>
  <c r="D144"/>
  <c r="B144"/>
  <c r="I143"/>
  <c r="J143" s="1"/>
  <c r="L143" s="1"/>
  <c r="E143"/>
  <c r="D143"/>
  <c r="B143"/>
  <c r="I142"/>
  <c r="J142" s="1"/>
  <c r="L142" s="1"/>
  <c r="E142"/>
  <c r="D142"/>
  <c r="B142"/>
  <c r="I141"/>
  <c r="J141" s="1"/>
  <c r="L141" s="1"/>
  <c r="E141"/>
  <c r="D141"/>
  <c r="B141"/>
  <c r="I140"/>
  <c r="J140" s="1"/>
  <c r="L140" s="1"/>
  <c r="E140"/>
  <c r="D140"/>
  <c r="B140"/>
  <c r="I139"/>
  <c r="J139" s="1"/>
  <c r="L139" s="1"/>
  <c r="E139"/>
  <c r="D139"/>
  <c r="B139"/>
  <c r="I138"/>
  <c r="J138" s="1"/>
  <c r="L138" s="1"/>
  <c r="E138"/>
  <c r="D138"/>
  <c r="B138"/>
  <c r="I137"/>
  <c r="J137" s="1"/>
  <c r="L137" s="1"/>
  <c r="E137"/>
  <c r="D137"/>
  <c r="B137"/>
  <c r="I136"/>
  <c r="J136" s="1"/>
  <c r="L136" s="1"/>
  <c r="E136"/>
  <c r="D136"/>
  <c r="B136"/>
  <c r="I135"/>
  <c r="J135" s="1"/>
  <c r="L135" s="1"/>
  <c r="E135"/>
  <c r="D135"/>
  <c r="B135"/>
  <c r="I134"/>
  <c r="J134" s="1"/>
  <c r="L134" s="1"/>
  <c r="E134"/>
  <c r="D134"/>
  <c r="B134"/>
  <c r="I133"/>
  <c r="J133" s="1"/>
  <c r="L133" s="1"/>
  <c r="E133"/>
  <c r="D133"/>
  <c r="B133"/>
  <c r="I132"/>
  <c r="J132" s="1"/>
  <c r="L132" s="1"/>
  <c r="E132"/>
  <c r="D132"/>
  <c r="B132"/>
  <c r="I131"/>
  <c r="J131" s="1"/>
  <c r="L131" s="1"/>
  <c r="E131"/>
  <c r="D131"/>
  <c r="B131"/>
  <c r="I130"/>
  <c r="J130" s="1"/>
  <c r="L130" s="1"/>
  <c r="E130"/>
  <c r="D130"/>
  <c r="B130"/>
  <c r="I129"/>
  <c r="J129" s="1"/>
  <c r="L129" s="1"/>
  <c r="E129"/>
  <c r="D129"/>
  <c r="B129"/>
  <c r="I128"/>
  <c r="J128" s="1"/>
  <c r="L128" s="1"/>
  <c r="E128"/>
  <c r="D128"/>
  <c r="B128"/>
  <c r="I127"/>
  <c r="J127" s="1"/>
  <c r="L127" s="1"/>
  <c r="E127"/>
  <c r="D127"/>
  <c r="B127"/>
  <c r="I126"/>
  <c r="J126" s="1"/>
  <c r="L126" s="1"/>
  <c r="E126"/>
  <c r="D126"/>
  <c r="B126"/>
  <c r="I125"/>
  <c r="J125" s="1"/>
  <c r="L125" s="1"/>
  <c r="E125"/>
  <c r="D125"/>
  <c r="B125"/>
  <c r="I124"/>
  <c r="J124" s="1"/>
  <c r="L124" s="1"/>
  <c r="E124"/>
  <c r="D124"/>
  <c r="B124"/>
  <c r="I123"/>
  <c r="J123" s="1"/>
  <c r="L123" s="1"/>
  <c r="E123"/>
  <c r="D123"/>
  <c r="B123"/>
  <c r="I122"/>
  <c r="J122" s="1"/>
  <c r="L122" s="1"/>
  <c r="E122"/>
  <c r="D122"/>
  <c r="B122"/>
  <c r="I121"/>
  <c r="J121" s="1"/>
  <c r="L121" s="1"/>
  <c r="E121"/>
  <c r="D121"/>
  <c r="B121"/>
  <c r="I120"/>
  <c r="J120" s="1"/>
  <c r="L120" s="1"/>
  <c r="E120"/>
  <c r="D120"/>
  <c r="B120"/>
  <c r="I119"/>
  <c r="J119" s="1"/>
  <c r="L119" s="1"/>
  <c r="E119"/>
  <c r="D119"/>
  <c r="B119"/>
  <c r="I118"/>
  <c r="J118" s="1"/>
  <c r="L118" s="1"/>
  <c r="E118"/>
  <c r="D118"/>
  <c r="B118"/>
  <c r="I117"/>
  <c r="J117" s="1"/>
  <c r="L117" s="1"/>
  <c r="E117"/>
  <c r="D117"/>
  <c r="B117"/>
  <c r="I116"/>
  <c r="J116" s="1"/>
  <c r="L116" s="1"/>
  <c r="E116"/>
  <c r="D116"/>
  <c r="B116"/>
  <c r="I115"/>
  <c r="J115" s="1"/>
  <c r="L115" s="1"/>
  <c r="E115"/>
  <c r="D115"/>
  <c r="B115"/>
  <c r="I114"/>
  <c r="J114" s="1"/>
  <c r="L114" s="1"/>
  <c r="E114"/>
  <c r="D114"/>
  <c r="B114"/>
  <c r="I113"/>
  <c r="J113" s="1"/>
  <c r="L113" s="1"/>
  <c r="E113"/>
  <c r="D113"/>
  <c r="B113"/>
  <c r="I112"/>
  <c r="J112" s="1"/>
  <c r="L112" s="1"/>
  <c r="E112"/>
  <c r="D112"/>
  <c r="B112"/>
  <c r="I111"/>
  <c r="J111" s="1"/>
  <c r="L111" s="1"/>
  <c r="E111"/>
  <c r="D111"/>
  <c r="B111"/>
  <c r="I110"/>
  <c r="J110" s="1"/>
  <c r="L110" s="1"/>
  <c r="E110"/>
  <c r="D110"/>
  <c r="B110"/>
  <c r="I109"/>
  <c r="J109" s="1"/>
  <c r="L109" s="1"/>
  <c r="E109"/>
  <c r="D109"/>
  <c r="B109"/>
  <c r="I108"/>
  <c r="J108" s="1"/>
  <c r="L108" s="1"/>
  <c r="E108"/>
  <c r="D108"/>
  <c r="B108"/>
  <c r="I107"/>
  <c r="J107" s="1"/>
  <c r="L107" s="1"/>
  <c r="E107"/>
  <c r="D107"/>
  <c r="B107"/>
  <c r="I106"/>
  <c r="J106" s="1"/>
  <c r="L106" s="1"/>
  <c r="E106"/>
  <c r="D106"/>
  <c r="B106"/>
  <c r="I105"/>
  <c r="J105" s="1"/>
  <c r="L105" s="1"/>
  <c r="E105"/>
  <c r="D105"/>
  <c r="B105"/>
  <c r="I104"/>
  <c r="J104" s="1"/>
  <c r="L104" s="1"/>
  <c r="E104"/>
  <c r="D104"/>
  <c r="B104"/>
  <c r="I103"/>
  <c r="J103" s="1"/>
  <c r="L103" s="1"/>
  <c r="E103"/>
  <c r="D103"/>
  <c r="B103"/>
  <c r="I102"/>
  <c r="J102" s="1"/>
  <c r="L102" s="1"/>
  <c r="E102"/>
  <c r="D102"/>
  <c r="B102"/>
  <c r="I101"/>
  <c r="J101" s="1"/>
  <c r="L101" s="1"/>
  <c r="E101"/>
  <c r="D101"/>
  <c r="B101"/>
  <c r="I100"/>
  <c r="J100" s="1"/>
  <c r="L100" s="1"/>
  <c r="E100"/>
  <c r="D100"/>
  <c r="B100"/>
  <c r="I99"/>
  <c r="J99" s="1"/>
  <c r="L99" s="1"/>
  <c r="E99"/>
  <c r="D99"/>
  <c r="B99"/>
  <c r="I98"/>
  <c r="J98" s="1"/>
  <c r="L98" s="1"/>
  <c r="E98"/>
  <c r="D98"/>
  <c r="B98"/>
  <c r="I97"/>
  <c r="J97" s="1"/>
  <c r="L97" s="1"/>
  <c r="E97"/>
  <c r="D97"/>
  <c r="B97"/>
  <c r="I96"/>
  <c r="J96" s="1"/>
  <c r="L96" s="1"/>
  <c r="E96"/>
  <c r="D96"/>
  <c r="B96"/>
  <c r="I95"/>
  <c r="J95" s="1"/>
  <c r="L95" s="1"/>
  <c r="E95"/>
  <c r="D95"/>
  <c r="B95"/>
  <c r="I94"/>
  <c r="J94" s="1"/>
  <c r="L94" s="1"/>
  <c r="E94"/>
  <c r="D94"/>
  <c r="B94"/>
  <c r="I93"/>
  <c r="J93" s="1"/>
  <c r="L93" s="1"/>
  <c r="E93"/>
  <c r="D93"/>
  <c r="B93"/>
  <c r="J92"/>
  <c r="L92" s="1"/>
  <c r="I92"/>
  <c r="E92"/>
  <c r="D92"/>
  <c r="B92"/>
  <c r="I91"/>
  <c r="J91" s="1"/>
  <c r="L91" s="1"/>
  <c r="E91"/>
  <c r="D91"/>
  <c r="B91"/>
  <c r="I90"/>
  <c r="J90" s="1"/>
  <c r="L90" s="1"/>
  <c r="E90"/>
  <c r="D90"/>
  <c r="B90"/>
  <c r="I89"/>
  <c r="J89" s="1"/>
  <c r="L89" s="1"/>
  <c r="E89"/>
  <c r="D89"/>
  <c r="B89"/>
  <c r="I88"/>
  <c r="J88" s="1"/>
  <c r="L88" s="1"/>
  <c r="E88"/>
  <c r="D88"/>
  <c r="B88"/>
  <c r="I87"/>
  <c r="J87" s="1"/>
  <c r="L87" s="1"/>
  <c r="E87"/>
  <c r="D87"/>
  <c r="B87"/>
  <c r="I86"/>
  <c r="J86" s="1"/>
  <c r="L86" s="1"/>
  <c r="E86"/>
  <c r="D86"/>
  <c r="B86"/>
  <c r="I85"/>
  <c r="J85" s="1"/>
  <c r="L85" s="1"/>
  <c r="E85"/>
  <c r="D85"/>
  <c r="B85"/>
  <c r="I84"/>
  <c r="J84" s="1"/>
  <c r="L84" s="1"/>
  <c r="E84"/>
  <c r="D84"/>
  <c r="B84"/>
  <c r="I83"/>
  <c r="J83" s="1"/>
  <c r="L83" s="1"/>
  <c r="E83"/>
  <c r="D83"/>
  <c r="B83"/>
  <c r="I82"/>
  <c r="J82" s="1"/>
  <c r="L82" s="1"/>
  <c r="E82"/>
  <c r="D82"/>
  <c r="B82"/>
  <c r="I81"/>
  <c r="J81" s="1"/>
  <c r="L81" s="1"/>
  <c r="E81"/>
  <c r="D81"/>
  <c r="B81"/>
  <c r="I80"/>
  <c r="J80" s="1"/>
  <c r="L80" s="1"/>
  <c r="E80"/>
  <c r="D80"/>
  <c r="B80"/>
  <c r="I79"/>
  <c r="J79" s="1"/>
  <c r="L79" s="1"/>
  <c r="E79"/>
  <c r="D79"/>
  <c r="B79"/>
  <c r="I78"/>
  <c r="J78" s="1"/>
  <c r="L78" s="1"/>
  <c r="E78"/>
  <c r="D78"/>
  <c r="B78"/>
  <c r="I77"/>
  <c r="J77" s="1"/>
  <c r="L77" s="1"/>
  <c r="E77"/>
  <c r="D77"/>
  <c r="B77"/>
  <c r="I76"/>
  <c r="J76" s="1"/>
  <c r="L76" s="1"/>
  <c r="E76"/>
  <c r="D76"/>
  <c r="B76"/>
  <c r="I75"/>
  <c r="J75" s="1"/>
  <c r="L75" s="1"/>
  <c r="E75"/>
  <c r="D75"/>
  <c r="B75"/>
  <c r="I74"/>
  <c r="J74" s="1"/>
  <c r="L74" s="1"/>
  <c r="E74"/>
  <c r="D74"/>
  <c r="B74"/>
  <c r="I73"/>
  <c r="J73" s="1"/>
  <c r="L73" s="1"/>
  <c r="E73"/>
  <c r="D73"/>
  <c r="B73"/>
  <c r="I72"/>
  <c r="J72" s="1"/>
  <c r="L72" s="1"/>
  <c r="E72"/>
  <c r="D72"/>
  <c r="B72"/>
  <c r="J71"/>
  <c r="L71" s="1"/>
  <c r="I71"/>
  <c r="E71"/>
  <c r="D71"/>
  <c r="B71"/>
  <c r="I70"/>
  <c r="J70" s="1"/>
  <c r="L70" s="1"/>
  <c r="E70"/>
  <c r="D70"/>
  <c r="B70"/>
  <c r="I69"/>
  <c r="J69" s="1"/>
  <c r="L69" s="1"/>
  <c r="E69"/>
  <c r="D69"/>
  <c r="B69"/>
  <c r="I68"/>
  <c r="J68" s="1"/>
  <c r="L68" s="1"/>
  <c r="E68"/>
  <c r="D68"/>
  <c r="B68"/>
  <c r="I67"/>
  <c r="J67" s="1"/>
  <c r="L67" s="1"/>
  <c r="E67"/>
  <c r="D67"/>
  <c r="B67"/>
  <c r="I66"/>
  <c r="J66" s="1"/>
  <c r="L66" s="1"/>
  <c r="E66"/>
  <c r="D66"/>
  <c r="B66"/>
  <c r="I65"/>
  <c r="J65" s="1"/>
  <c r="L65" s="1"/>
  <c r="E65"/>
  <c r="D65"/>
  <c r="B65"/>
  <c r="I64"/>
  <c r="J64" s="1"/>
  <c r="L64" s="1"/>
  <c r="E64"/>
  <c r="D64"/>
  <c r="B64"/>
  <c r="L63"/>
  <c r="J63"/>
  <c r="I63"/>
  <c r="E63"/>
  <c r="D63"/>
  <c r="B63"/>
  <c r="I62"/>
  <c r="J62" s="1"/>
  <c r="L62" s="1"/>
  <c r="E62"/>
  <c r="D62"/>
  <c r="B62"/>
  <c r="I61"/>
  <c r="J61" s="1"/>
  <c r="L61" s="1"/>
  <c r="E61"/>
  <c r="D61"/>
  <c r="B61"/>
  <c r="I60"/>
  <c r="J60" s="1"/>
  <c r="L60" s="1"/>
  <c r="E60"/>
  <c r="D60"/>
  <c r="B60"/>
  <c r="I59"/>
  <c r="J59" s="1"/>
  <c r="L59" s="1"/>
  <c r="E59"/>
  <c r="D59"/>
  <c r="B59"/>
  <c r="I58"/>
  <c r="J58" s="1"/>
  <c r="L58" s="1"/>
  <c r="E58"/>
  <c r="D58"/>
  <c r="B58"/>
  <c r="I57"/>
  <c r="J57" s="1"/>
  <c r="L57" s="1"/>
  <c r="E57"/>
  <c r="D57"/>
  <c r="B57"/>
  <c r="I56"/>
  <c r="J56" s="1"/>
  <c r="L56" s="1"/>
  <c r="E56"/>
  <c r="D56"/>
  <c r="B56"/>
  <c r="I55"/>
  <c r="J55" s="1"/>
  <c r="L55" s="1"/>
  <c r="E55"/>
  <c r="D55"/>
  <c r="B55"/>
  <c r="I54"/>
  <c r="J54" s="1"/>
  <c r="L54" s="1"/>
  <c r="E54"/>
  <c r="D54"/>
  <c r="B54"/>
  <c r="I53"/>
  <c r="J53" s="1"/>
  <c r="L53" s="1"/>
  <c r="E53"/>
  <c r="D53"/>
  <c r="B53"/>
  <c r="I52"/>
  <c r="J52" s="1"/>
  <c r="L52" s="1"/>
  <c r="E52"/>
  <c r="D52"/>
  <c r="B52"/>
  <c r="I51"/>
  <c r="J51" s="1"/>
  <c r="L51" s="1"/>
  <c r="E51"/>
  <c r="D51"/>
  <c r="B51"/>
  <c r="I50"/>
  <c r="J50" s="1"/>
  <c r="L50" s="1"/>
  <c r="E50"/>
  <c r="D50"/>
  <c r="B50"/>
  <c r="J49"/>
  <c r="L49" s="1"/>
  <c r="I49"/>
  <c r="E49"/>
  <c r="D49"/>
  <c r="B49"/>
  <c r="I48"/>
  <c r="J48" s="1"/>
  <c r="L48" s="1"/>
  <c r="E48"/>
  <c r="D48"/>
  <c r="B48"/>
  <c r="I47"/>
  <c r="J47" s="1"/>
  <c r="L47" s="1"/>
  <c r="E47"/>
  <c r="D47"/>
  <c r="B47"/>
  <c r="I46"/>
  <c r="J46" s="1"/>
  <c r="L46" s="1"/>
  <c r="E46"/>
  <c r="D46"/>
  <c r="B46"/>
  <c r="I45"/>
  <c r="J45" s="1"/>
  <c r="L45" s="1"/>
  <c r="E45"/>
  <c r="D45"/>
  <c r="B45"/>
  <c r="I44"/>
  <c r="J44" s="1"/>
  <c r="L44" s="1"/>
  <c r="E44"/>
  <c r="D44"/>
  <c r="B44"/>
  <c r="J43"/>
  <c r="L43" s="1"/>
  <c r="I43"/>
  <c r="E43"/>
  <c r="D43"/>
  <c r="B43"/>
  <c r="I42"/>
  <c r="J42" s="1"/>
  <c r="L42" s="1"/>
  <c r="E42"/>
  <c r="D42"/>
  <c r="B42"/>
  <c r="I41"/>
  <c r="J41" s="1"/>
  <c r="L41" s="1"/>
  <c r="E41"/>
  <c r="D41"/>
  <c r="B41"/>
  <c r="I40"/>
  <c r="J40" s="1"/>
  <c r="L40" s="1"/>
  <c r="E40"/>
  <c r="D40"/>
  <c r="B40"/>
  <c r="I39"/>
  <c r="J39" s="1"/>
  <c r="L39" s="1"/>
  <c r="E39"/>
  <c r="D39"/>
  <c r="B39"/>
  <c r="I38"/>
  <c r="J38" s="1"/>
  <c r="L38" s="1"/>
  <c r="E38"/>
  <c r="D38"/>
  <c r="B38"/>
  <c r="I37"/>
  <c r="J37" s="1"/>
  <c r="L37" s="1"/>
  <c r="E37"/>
  <c r="D37"/>
  <c r="B37"/>
  <c r="I36"/>
  <c r="J36" s="1"/>
  <c r="L36" s="1"/>
  <c r="E36"/>
  <c r="D36"/>
  <c r="B36"/>
  <c r="I35"/>
  <c r="J35" s="1"/>
  <c r="L35" s="1"/>
  <c r="E35"/>
  <c r="D35"/>
  <c r="B35"/>
  <c r="I34"/>
  <c r="J34" s="1"/>
  <c r="L34" s="1"/>
  <c r="E34"/>
  <c r="D34"/>
  <c r="B34"/>
  <c r="I33"/>
  <c r="J33" s="1"/>
  <c r="L33" s="1"/>
  <c r="E33"/>
  <c r="D33"/>
  <c r="B33"/>
  <c r="I32"/>
  <c r="J32" s="1"/>
  <c r="L32" s="1"/>
  <c r="E32"/>
  <c r="D32"/>
  <c r="B32"/>
  <c r="I31"/>
  <c r="J31" s="1"/>
  <c r="L31" s="1"/>
  <c r="E31"/>
  <c r="D31"/>
  <c r="B31"/>
  <c r="I30"/>
  <c r="J30" s="1"/>
  <c r="L30" s="1"/>
  <c r="E30"/>
  <c r="D30"/>
  <c r="B30"/>
  <c r="I29"/>
  <c r="J29" s="1"/>
  <c r="L29" s="1"/>
  <c r="E29"/>
  <c r="D29"/>
  <c r="B29"/>
  <c r="J28"/>
  <c r="L28" s="1"/>
  <c r="I28"/>
  <c r="E28"/>
  <c r="D28"/>
  <c r="B28"/>
  <c r="I27"/>
  <c r="J27" s="1"/>
  <c r="L27" s="1"/>
  <c r="E27"/>
  <c r="D27"/>
  <c r="B27"/>
  <c r="J26"/>
  <c r="L26" s="1"/>
  <c r="I26"/>
  <c r="E26"/>
  <c r="D26"/>
  <c r="B26"/>
  <c r="I25"/>
  <c r="J25" s="1"/>
  <c r="L25" s="1"/>
  <c r="E25"/>
  <c r="D25"/>
  <c r="B25"/>
  <c r="I24"/>
  <c r="J24" s="1"/>
  <c r="L24" s="1"/>
  <c r="E24"/>
  <c r="D24"/>
  <c r="B24"/>
  <c r="I23"/>
  <c r="J23" s="1"/>
  <c r="L23" s="1"/>
  <c r="E23"/>
  <c r="D23"/>
  <c r="B23"/>
  <c r="I22"/>
  <c r="J22" s="1"/>
  <c r="L22" s="1"/>
  <c r="E22"/>
  <c r="D22"/>
  <c r="B22"/>
  <c r="I21"/>
  <c r="J21" s="1"/>
  <c r="L21" s="1"/>
  <c r="E21"/>
  <c r="D21"/>
  <c r="B21"/>
  <c r="I20"/>
  <c r="J20" s="1"/>
  <c r="L20" s="1"/>
  <c r="E20"/>
  <c r="D20"/>
  <c r="B20"/>
  <c r="I19"/>
  <c r="J19" s="1"/>
  <c r="L19" s="1"/>
  <c r="E19"/>
  <c r="D19"/>
  <c r="B19"/>
  <c r="J18"/>
  <c r="L18" s="1"/>
  <c r="I18"/>
  <c r="E18"/>
  <c r="D18"/>
  <c r="B18"/>
  <c r="I17"/>
  <c r="J17" s="1"/>
  <c r="L17" s="1"/>
  <c r="E17"/>
  <c r="D17"/>
  <c r="B17"/>
  <c r="I16"/>
  <c r="J16" s="1"/>
  <c r="L16" s="1"/>
  <c r="E16"/>
  <c r="D16"/>
  <c r="B16"/>
  <c r="I15"/>
  <c r="J15" s="1"/>
  <c r="L15" s="1"/>
  <c r="E15"/>
  <c r="D15"/>
  <c r="B15"/>
  <c r="I14"/>
  <c r="J14" s="1"/>
  <c r="L14" s="1"/>
  <c r="E14"/>
  <c r="D14"/>
  <c r="B14"/>
  <c r="I13"/>
  <c r="J13" s="1"/>
  <c r="L13" s="1"/>
  <c r="E13"/>
  <c r="D13"/>
  <c r="B13"/>
  <c r="I12"/>
  <c r="J12" s="1"/>
  <c r="L12" s="1"/>
  <c r="E12"/>
  <c r="D12"/>
  <c r="B12"/>
  <c r="I11"/>
  <c r="J11" s="1"/>
  <c r="L11" s="1"/>
  <c r="E11"/>
  <c r="D11"/>
  <c r="B11"/>
  <c r="I10"/>
  <c r="J10" s="1"/>
  <c r="L10" s="1"/>
  <c r="E10"/>
  <c r="D10"/>
  <c r="B10"/>
  <c r="I9"/>
  <c r="J9" s="1"/>
  <c r="L9" s="1"/>
  <c r="E9"/>
  <c r="D9"/>
  <c r="B9"/>
  <c r="I8"/>
  <c r="J8" s="1"/>
  <c r="L8" s="1"/>
  <c r="E8"/>
  <c r="D8"/>
  <c r="B8"/>
  <c r="I7"/>
  <c r="J7" s="1"/>
  <c r="L7" s="1"/>
  <c r="E7"/>
  <c r="D7"/>
  <c r="B7"/>
  <c r="I6"/>
  <c r="J6" s="1"/>
  <c r="L6" s="1"/>
  <c r="E6"/>
  <c r="D6"/>
  <c r="B6"/>
  <c r="I5"/>
  <c r="J5" s="1"/>
  <c r="L5" s="1"/>
  <c r="E5"/>
  <c r="D5"/>
  <c r="B5"/>
  <c r="I4"/>
  <c r="J4" s="1"/>
  <c r="L4" s="1"/>
  <c r="E4"/>
  <c r="D4"/>
  <c r="B4"/>
  <c r="I3"/>
  <c r="J3" s="1"/>
  <c r="L3" s="1"/>
  <c r="E3"/>
  <c r="D3"/>
  <c r="B3"/>
</calcChain>
</file>

<file path=xl/sharedStrings.xml><?xml version="1.0" encoding="utf-8"?>
<sst xmlns="http://schemas.openxmlformats.org/spreadsheetml/2006/main" count="446" uniqueCount="204">
  <si>
    <t>总编号</t>
    <phoneticPr fontId="2" type="noConversion"/>
  </si>
  <si>
    <t>岗位代码</t>
  </si>
  <si>
    <t>岗位名称</t>
  </si>
  <si>
    <t>姓名</t>
  </si>
  <si>
    <t>准考证号</t>
  </si>
  <si>
    <t>职测成绩</t>
  </si>
  <si>
    <t>教综客观成绩</t>
  </si>
  <si>
    <t>教综主观成绩</t>
  </si>
  <si>
    <t>总分</t>
  </si>
  <si>
    <t>笔试成绩
合成分</t>
    <phoneticPr fontId="2" type="noConversion"/>
  </si>
  <si>
    <t>面试分</t>
    <phoneticPr fontId="2" type="noConversion"/>
  </si>
  <si>
    <t>笔试面试
合成绩</t>
    <phoneticPr fontId="2" type="noConversion"/>
  </si>
  <si>
    <t>名次</t>
    <phoneticPr fontId="2" type="noConversion"/>
  </si>
  <si>
    <t>语文(城区1)</t>
  </si>
  <si>
    <t>66.6</t>
  </si>
  <si>
    <t>48.6</t>
  </si>
  <si>
    <t>65.2</t>
  </si>
  <si>
    <t>43.1</t>
  </si>
  <si>
    <t>56.6</t>
  </si>
  <si>
    <t>49.5</t>
  </si>
  <si>
    <t>63.7</t>
  </si>
  <si>
    <t>41.4</t>
  </si>
  <si>
    <t>60.7</t>
  </si>
  <si>
    <t>43</t>
  </si>
  <si>
    <t>60.6</t>
  </si>
  <si>
    <t>41.3</t>
  </si>
  <si>
    <t>62.6</t>
  </si>
  <si>
    <t>44.5</t>
  </si>
  <si>
    <t>62.4</t>
  </si>
  <si>
    <t>40</t>
  </si>
  <si>
    <t>51.6</t>
  </si>
  <si>
    <t>48.3</t>
  </si>
  <si>
    <t>58.2</t>
  </si>
  <si>
    <t>45.1</t>
  </si>
  <si>
    <t>66.3</t>
  </si>
  <si>
    <t>36</t>
  </si>
  <si>
    <t>53.2</t>
  </si>
  <si>
    <t>46.6</t>
  </si>
  <si>
    <t>66.8</t>
  </si>
  <si>
    <t>42.8</t>
  </si>
  <si>
    <t>64.3</t>
  </si>
  <si>
    <t>44</t>
  </si>
  <si>
    <t>61.8</t>
  </si>
  <si>
    <t>44.1</t>
  </si>
  <si>
    <t>65.9</t>
  </si>
  <si>
    <t>43.5</t>
  </si>
  <si>
    <t>56.3</t>
  </si>
  <si>
    <t>46.8</t>
  </si>
  <si>
    <t>43.6</t>
  </si>
  <si>
    <t>44.6</t>
  </si>
  <si>
    <t>57.5</t>
  </si>
  <si>
    <t>62.2</t>
  </si>
  <si>
    <t>41.8</t>
  </si>
  <si>
    <t>38.8</t>
  </si>
  <si>
    <t>57.6</t>
  </si>
  <si>
    <t>64.1</t>
  </si>
  <si>
    <t>36.6</t>
  </si>
  <si>
    <t>57.8</t>
  </si>
  <si>
    <t>39.9</t>
  </si>
  <si>
    <t>61</t>
  </si>
  <si>
    <t>59.8</t>
  </si>
  <si>
    <t>38.3</t>
  </si>
  <si>
    <t>60.4</t>
  </si>
  <si>
    <t>语文(城区2)</t>
  </si>
  <si>
    <t>60.2</t>
  </si>
  <si>
    <t>45.8</t>
  </si>
  <si>
    <t>62</t>
  </si>
  <si>
    <t>67</t>
  </si>
  <si>
    <t>37.8</t>
  </si>
  <si>
    <t>53.1</t>
  </si>
  <si>
    <t>41.5</t>
  </si>
  <si>
    <t>59.7</t>
  </si>
  <si>
    <t>45.2</t>
  </si>
  <si>
    <t>65.4</t>
  </si>
  <si>
    <t>45.7</t>
  </si>
  <si>
    <t>40.3</t>
  </si>
  <si>
    <t>55.2</t>
  </si>
  <si>
    <t>62.5</t>
  </si>
  <si>
    <t>68.4</t>
  </si>
  <si>
    <t>38</t>
  </si>
  <si>
    <t>54.8</t>
  </si>
  <si>
    <t>44.2</t>
  </si>
  <si>
    <t>54.7</t>
  </si>
  <si>
    <t>34.4</t>
  </si>
  <si>
    <t>35.5</t>
  </si>
  <si>
    <t>53.7</t>
  </si>
  <si>
    <t>56</t>
  </si>
  <si>
    <t>42</t>
  </si>
  <si>
    <t>35</t>
  </si>
  <si>
    <t>50.1</t>
  </si>
  <si>
    <t>40.5</t>
  </si>
  <si>
    <t>语文(乡村1)</t>
  </si>
  <si>
    <t>46.9</t>
  </si>
  <si>
    <t>52.2</t>
  </si>
  <si>
    <t>65.8</t>
  </si>
  <si>
    <t>48</t>
  </si>
  <si>
    <t>59</t>
  </si>
  <si>
    <t>48.5</t>
  </si>
  <si>
    <t>77.5</t>
  </si>
  <si>
    <t>40.9</t>
  </si>
  <si>
    <t>56.7</t>
  </si>
  <si>
    <t>58.3</t>
  </si>
  <si>
    <t>61.3</t>
  </si>
  <si>
    <t>61.2</t>
  </si>
  <si>
    <t>31.2</t>
  </si>
  <si>
    <t>53.6</t>
  </si>
  <si>
    <t>39.3</t>
  </si>
  <si>
    <t>48.7</t>
  </si>
  <si>
    <t>51.5</t>
  </si>
  <si>
    <t>58.1</t>
  </si>
  <si>
    <t>59.2</t>
  </si>
  <si>
    <t>34.8</t>
  </si>
  <si>
    <t>39.5</t>
  </si>
  <si>
    <t>49.9</t>
  </si>
  <si>
    <t>50</t>
  </si>
  <si>
    <t>40.4</t>
  </si>
  <si>
    <t>37.1</t>
  </si>
  <si>
    <t>51.9</t>
  </si>
  <si>
    <t>39.2</t>
  </si>
  <si>
    <t>39.8</t>
  </si>
  <si>
    <t>55.1</t>
  </si>
  <si>
    <t>38.6</t>
  </si>
  <si>
    <t>52.9</t>
  </si>
  <si>
    <t>41.2</t>
  </si>
  <si>
    <t>语文(乡村2)</t>
  </si>
  <si>
    <t>63.6</t>
  </si>
  <si>
    <t>73.1</t>
  </si>
  <si>
    <t>41.9</t>
  </si>
  <si>
    <t>63.9</t>
  </si>
  <si>
    <t>61.5</t>
  </si>
  <si>
    <t>47.2</t>
  </si>
  <si>
    <t>42.9</t>
  </si>
  <si>
    <t>69.5</t>
  </si>
  <si>
    <t>36.1</t>
  </si>
  <si>
    <t>48.8</t>
  </si>
  <si>
    <t>53.3</t>
  </si>
  <si>
    <t>36.9</t>
  </si>
  <si>
    <t>54.4</t>
  </si>
  <si>
    <t>58.5</t>
  </si>
  <si>
    <t>60.1</t>
  </si>
  <si>
    <t>32.4</t>
  </si>
  <si>
    <t>50.7</t>
  </si>
  <si>
    <t>32.9</t>
  </si>
  <si>
    <t>数学(城区)</t>
  </si>
  <si>
    <t>63.5</t>
  </si>
  <si>
    <t>49.2</t>
  </si>
  <si>
    <t>65.1</t>
  </si>
  <si>
    <t>75.9</t>
  </si>
  <si>
    <t>70</t>
  </si>
  <si>
    <t>60.9</t>
  </si>
  <si>
    <t>45.3</t>
  </si>
  <si>
    <t>75.2</t>
  </si>
  <si>
    <t>42.2</t>
  </si>
  <si>
    <t>70.4</t>
  </si>
  <si>
    <t>63.2</t>
  </si>
  <si>
    <t>70.5</t>
  </si>
  <si>
    <t>48.4</t>
  </si>
  <si>
    <t>71.6</t>
  </si>
  <si>
    <t>71</t>
  </si>
  <si>
    <t>33.8</t>
  </si>
  <si>
    <t>45.6</t>
  </si>
  <si>
    <t>66.9</t>
  </si>
  <si>
    <t>44.8</t>
  </si>
  <si>
    <t>数学(乡村)</t>
  </si>
  <si>
    <t>57.9</t>
  </si>
  <si>
    <t>42.4</t>
  </si>
  <si>
    <t>69.8</t>
  </si>
  <si>
    <t>47.5</t>
  </si>
  <si>
    <t>67.1</t>
  </si>
  <si>
    <t>52.7</t>
  </si>
  <si>
    <t>64.6</t>
  </si>
  <si>
    <t>78.2</t>
  </si>
  <si>
    <t>55</t>
  </si>
  <si>
    <t>63.1</t>
  </si>
  <si>
    <t>67.3</t>
  </si>
  <si>
    <t>41</t>
  </si>
  <si>
    <t>56.4</t>
  </si>
  <si>
    <t>60.8</t>
  </si>
  <si>
    <t>47.8</t>
  </si>
  <si>
    <t>64.2</t>
  </si>
  <si>
    <t>42.5</t>
  </si>
  <si>
    <t>33.9</t>
  </si>
  <si>
    <t>33.3</t>
  </si>
  <si>
    <t>体育</t>
  </si>
  <si>
    <t>信息</t>
  </si>
  <si>
    <t>53</t>
  </si>
  <si>
    <t>56.1</t>
  </si>
  <si>
    <t>音乐</t>
  </si>
  <si>
    <t>38.1</t>
  </si>
  <si>
    <t>美术</t>
  </si>
  <si>
    <t>78.8</t>
  </si>
  <si>
    <t>数学</t>
  </si>
  <si>
    <t>65.5</t>
  </si>
  <si>
    <t>73.2</t>
  </si>
  <si>
    <t>59.5</t>
  </si>
  <si>
    <t>英语</t>
  </si>
  <si>
    <t>53.8</t>
  </si>
  <si>
    <t>74</t>
  </si>
  <si>
    <t>49</t>
  </si>
  <si>
    <t>地理</t>
  </si>
  <si>
    <t>物理</t>
  </si>
  <si>
    <t>79</t>
  </si>
  <si>
    <t>道德法治</t>
  </si>
  <si>
    <t>濉溪县2021年公开招聘非在编中小学教学人员拟参加体检、考察人员名单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</si>
</sst>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3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indexed="8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_3674_6201c38d052b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7"/>
  <sheetViews>
    <sheetView tabSelected="1" topLeftCell="A67" workbookViewId="0">
      <selection activeCell="S89" sqref="S89"/>
    </sheetView>
  </sheetViews>
  <sheetFormatPr defaultRowHeight="13.5"/>
  <cols>
    <col min="1" max="1" width="7" style="14" customWidth="1"/>
    <col min="2" max="2" width="6.375" customWidth="1"/>
    <col min="3" max="3" width="11.875" customWidth="1"/>
    <col min="4" max="4" width="6.625" customWidth="1"/>
    <col min="5" max="5" width="10.875" customWidth="1"/>
    <col min="6" max="9" width="0" hidden="1" customWidth="1"/>
    <col min="10" max="10" width="11.375" style="15" customWidth="1"/>
    <col min="11" max="11" width="11" style="15" customWidth="1"/>
    <col min="12" max="12" width="11.25" style="16" customWidth="1"/>
    <col min="13" max="13" width="9" style="15"/>
  </cols>
  <sheetData>
    <row r="1" spans="1:16" ht="43.5" customHeight="1">
      <c r="A1" s="19" t="s">
        <v>203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6" ht="36" customHeight="1">
      <c r="A2" s="1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3" t="s">
        <v>7</v>
      </c>
      <c r="I2" s="3" t="s">
        <v>8</v>
      </c>
      <c r="J2" s="2" t="s">
        <v>9</v>
      </c>
      <c r="K2" s="5" t="s">
        <v>10</v>
      </c>
      <c r="L2" s="6" t="s">
        <v>11</v>
      </c>
      <c r="M2" s="1" t="s">
        <v>12</v>
      </c>
    </row>
    <row r="3" spans="1:16" s="12" customFormat="1" ht="17.25" customHeight="1">
      <c r="A3" s="7">
        <v>1</v>
      </c>
      <c r="B3" s="13" t="str">
        <f t="shared" ref="B3:B17" si="0">"101"</f>
        <v>101</v>
      </c>
      <c r="C3" s="13" t="s">
        <v>13</v>
      </c>
      <c r="D3" s="13" t="str">
        <f>"刘茹梦"</f>
        <v>刘茹梦</v>
      </c>
      <c r="E3" s="13" t="str">
        <f>"2022024321"</f>
        <v>2022024321</v>
      </c>
      <c r="F3" s="17" t="s">
        <v>14</v>
      </c>
      <c r="G3" s="17" t="s">
        <v>15</v>
      </c>
      <c r="H3" s="13">
        <v>29</v>
      </c>
      <c r="I3" s="13">
        <f t="shared" ref="I3:I34" si="1">F3+G3+H3</f>
        <v>144.19999999999999</v>
      </c>
      <c r="J3" s="13">
        <f t="shared" ref="J3:J34" si="2">I3/2</f>
        <v>72.099999999999994</v>
      </c>
      <c r="K3" s="7">
        <v>81.44</v>
      </c>
      <c r="L3" s="18">
        <f t="shared" ref="L3:L34" si="3">J3/2+K3/2</f>
        <v>76.77</v>
      </c>
      <c r="M3" s="7">
        <v>1</v>
      </c>
      <c r="N3"/>
      <c r="O3"/>
      <c r="P3"/>
    </row>
    <row r="4" spans="1:16" ht="17.25" customHeight="1">
      <c r="A4" s="7">
        <v>2</v>
      </c>
      <c r="B4" s="13" t="str">
        <f t="shared" si="0"/>
        <v>101</v>
      </c>
      <c r="C4" s="13" t="s">
        <v>13</v>
      </c>
      <c r="D4" s="13" t="str">
        <f>"孟文静"</f>
        <v>孟文静</v>
      </c>
      <c r="E4" s="13" t="str">
        <f>"2022022011"</f>
        <v>2022022011</v>
      </c>
      <c r="F4" s="17" t="s">
        <v>16</v>
      </c>
      <c r="G4" s="17" t="s">
        <v>17</v>
      </c>
      <c r="H4" s="13">
        <v>30</v>
      </c>
      <c r="I4" s="13">
        <f t="shared" si="1"/>
        <v>138.30000000000001</v>
      </c>
      <c r="J4" s="13">
        <f t="shared" si="2"/>
        <v>69.150000000000006</v>
      </c>
      <c r="K4" s="7">
        <v>82.76</v>
      </c>
      <c r="L4" s="18">
        <f t="shared" si="3"/>
        <v>75.955000000000013</v>
      </c>
      <c r="M4" s="7">
        <v>2</v>
      </c>
    </row>
    <row r="5" spans="1:16" ht="17.25" customHeight="1">
      <c r="A5" s="7">
        <v>3</v>
      </c>
      <c r="B5" s="13" t="str">
        <f t="shared" si="0"/>
        <v>101</v>
      </c>
      <c r="C5" s="13" t="s">
        <v>13</v>
      </c>
      <c r="D5" s="13" t="str">
        <f>"单青"</f>
        <v>单青</v>
      </c>
      <c r="E5" s="13" t="str">
        <f>"2022020326"</f>
        <v>2022020326</v>
      </c>
      <c r="F5" s="17" t="s">
        <v>18</v>
      </c>
      <c r="G5" s="17" t="s">
        <v>19</v>
      </c>
      <c r="H5" s="13">
        <v>30</v>
      </c>
      <c r="I5" s="13">
        <f t="shared" si="1"/>
        <v>136.1</v>
      </c>
      <c r="J5" s="13">
        <f t="shared" si="2"/>
        <v>68.05</v>
      </c>
      <c r="K5" s="7">
        <v>83.42</v>
      </c>
      <c r="L5" s="18">
        <f t="shared" si="3"/>
        <v>75.734999999999999</v>
      </c>
      <c r="M5" s="7">
        <v>3</v>
      </c>
    </row>
    <row r="6" spans="1:16" ht="17.25" customHeight="1">
      <c r="A6" s="7">
        <v>4</v>
      </c>
      <c r="B6" s="13" t="str">
        <f t="shared" si="0"/>
        <v>101</v>
      </c>
      <c r="C6" s="13" t="s">
        <v>13</v>
      </c>
      <c r="D6" s="13" t="str">
        <f>"李丹"</f>
        <v>李丹</v>
      </c>
      <c r="E6" s="13" t="str">
        <f>"2022024003"</f>
        <v>2022024003</v>
      </c>
      <c r="F6" s="17" t="s">
        <v>20</v>
      </c>
      <c r="G6" s="17" t="s">
        <v>21</v>
      </c>
      <c r="H6" s="13">
        <v>28</v>
      </c>
      <c r="I6" s="13">
        <f t="shared" si="1"/>
        <v>133.1</v>
      </c>
      <c r="J6" s="13">
        <f t="shared" si="2"/>
        <v>66.55</v>
      </c>
      <c r="K6" s="7">
        <v>81.2</v>
      </c>
      <c r="L6" s="18">
        <f t="shared" si="3"/>
        <v>73.875</v>
      </c>
      <c r="M6" s="7">
        <v>4</v>
      </c>
    </row>
    <row r="7" spans="1:16" ht="17.25" customHeight="1">
      <c r="A7" s="7">
        <v>5</v>
      </c>
      <c r="B7" s="13" t="str">
        <f t="shared" si="0"/>
        <v>101</v>
      </c>
      <c r="C7" s="13" t="s">
        <v>13</v>
      </c>
      <c r="D7" s="13" t="str">
        <f>"薛月月"</f>
        <v>薛月月</v>
      </c>
      <c r="E7" s="13" t="str">
        <f>"2022023507"</f>
        <v>2022023507</v>
      </c>
      <c r="F7" s="17" t="s">
        <v>22</v>
      </c>
      <c r="G7" s="17" t="s">
        <v>23</v>
      </c>
      <c r="H7" s="13">
        <v>27</v>
      </c>
      <c r="I7" s="13">
        <f t="shared" si="1"/>
        <v>130.69999999999999</v>
      </c>
      <c r="J7" s="13">
        <f t="shared" si="2"/>
        <v>65.349999999999994</v>
      </c>
      <c r="K7" s="7">
        <v>82.3</v>
      </c>
      <c r="L7" s="18">
        <f t="shared" si="3"/>
        <v>73.824999999999989</v>
      </c>
      <c r="M7" s="7">
        <v>5</v>
      </c>
    </row>
    <row r="8" spans="1:16" ht="17.25" customHeight="1">
      <c r="A8" s="7">
        <v>6</v>
      </c>
      <c r="B8" s="13" t="str">
        <f t="shared" si="0"/>
        <v>101</v>
      </c>
      <c r="C8" s="13" t="s">
        <v>13</v>
      </c>
      <c r="D8" s="13" t="str">
        <f>"郑玥"</f>
        <v>郑玥</v>
      </c>
      <c r="E8" s="13" t="str">
        <f>"2022020611"</f>
        <v>2022020611</v>
      </c>
      <c r="F8" s="17" t="s">
        <v>24</v>
      </c>
      <c r="G8" s="17" t="s">
        <v>25</v>
      </c>
      <c r="H8" s="13">
        <v>30</v>
      </c>
      <c r="I8" s="13">
        <f t="shared" si="1"/>
        <v>131.9</v>
      </c>
      <c r="J8" s="13">
        <f t="shared" si="2"/>
        <v>65.95</v>
      </c>
      <c r="K8" s="7">
        <v>81.56</v>
      </c>
      <c r="L8" s="18">
        <f t="shared" si="3"/>
        <v>73.754999999999995</v>
      </c>
      <c r="M8" s="7">
        <v>6</v>
      </c>
    </row>
    <row r="9" spans="1:16" ht="17.25" customHeight="1">
      <c r="A9" s="7">
        <v>7</v>
      </c>
      <c r="B9" s="13" t="str">
        <f t="shared" si="0"/>
        <v>101</v>
      </c>
      <c r="C9" s="13" t="s">
        <v>13</v>
      </c>
      <c r="D9" s="13" t="str">
        <f>"万梓琳"</f>
        <v>万梓琳</v>
      </c>
      <c r="E9" s="13" t="str">
        <f>"2022020225"</f>
        <v>2022020225</v>
      </c>
      <c r="F9" s="17" t="s">
        <v>26</v>
      </c>
      <c r="G9" s="17" t="s">
        <v>27</v>
      </c>
      <c r="H9" s="13">
        <v>30</v>
      </c>
      <c r="I9" s="13">
        <f t="shared" si="1"/>
        <v>137.1</v>
      </c>
      <c r="J9" s="13">
        <f t="shared" si="2"/>
        <v>68.55</v>
      </c>
      <c r="K9" s="7">
        <v>78.94</v>
      </c>
      <c r="L9" s="18">
        <f t="shared" si="3"/>
        <v>73.745000000000005</v>
      </c>
      <c r="M9" s="7">
        <v>7</v>
      </c>
    </row>
    <row r="10" spans="1:16" ht="17.25" customHeight="1">
      <c r="A10" s="7">
        <v>8</v>
      </c>
      <c r="B10" s="13" t="str">
        <f t="shared" si="0"/>
        <v>101</v>
      </c>
      <c r="C10" s="13" t="s">
        <v>13</v>
      </c>
      <c r="D10" s="13" t="str">
        <f>"满花"</f>
        <v>满花</v>
      </c>
      <c r="E10" s="13" t="str">
        <f>"2022020706"</f>
        <v>2022020706</v>
      </c>
      <c r="F10" s="17" t="s">
        <v>28</v>
      </c>
      <c r="G10" s="17" t="s">
        <v>29</v>
      </c>
      <c r="H10" s="13">
        <v>29</v>
      </c>
      <c r="I10" s="13">
        <f t="shared" si="1"/>
        <v>131.4</v>
      </c>
      <c r="J10" s="13">
        <f t="shared" si="2"/>
        <v>65.7</v>
      </c>
      <c r="K10" s="7">
        <v>81.08</v>
      </c>
      <c r="L10" s="18">
        <f t="shared" si="3"/>
        <v>73.39</v>
      </c>
      <c r="M10" s="7">
        <v>8</v>
      </c>
    </row>
    <row r="11" spans="1:16" ht="17.25" customHeight="1">
      <c r="A11" s="7">
        <v>9</v>
      </c>
      <c r="B11" s="13" t="str">
        <f t="shared" si="0"/>
        <v>101</v>
      </c>
      <c r="C11" s="13" t="s">
        <v>13</v>
      </c>
      <c r="D11" s="13" t="str">
        <f>"窦晓杰"</f>
        <v>窦晓杰</v>
      </c>
      <c r="E11" s="13" t="str">
        <f>"2022021918"</f>
        <v>2022021918</v>
      </c>
      <c r="F11" s="17" t="s">
        <v>30</v>
      </c>
      <c r="G11" s="17" t="s">
        <v>31</v>
      </c>
      <c r="H11" s="13">
        <v>28</v>
      </c>
      <c r="I11" s="13">
        <f t="shared" si="1"/>
        <v>127.9</v>
      </c>
      <c r="J11" s="13">
        <f t="shared" si="2"/>
        <v>63.95</v>
      </c>
      <c r="K11" s="7">
        <v>82.52</v>
      </c>
      <c r="L11" s="18">
        <f t="shared" si="3"/>
        <v>73.234999999999999</v>
      </c>
      <c r="M11" s="7">
        <v>9</v>
      </c>
    </row>
    <row r="12" spans="1:16" ht="17.25" customHeight="1">
      <c r="A12" s="7">
        <v>10</v>
      </c>
      <c r="B12" s="13" t="str">
        <f t="shared" si="0"/>
        <v>101</v>
      </c>
      <c r="C12" s="13" t="s">
        <v>13</v>
      </c>
      <c r="D12" s="13" t="str">
        <f>"刘丽芳"</f>
        <v>刘丽芳</v>
      </c>
      <c r="E12" s="13" t="str">
        <f>"2022020922"</f>
        <v>2022020922</v>
      </c>
      <c r="F12" s="17" t="s">
        <v>32</v>
      </c>
      <c r="G12" s="17" t="s">
        <v>33</v>
      </c>
      <c r="H12" s="13">
        <v>30</v>
      </c>
      <c r="I12" s="13">
        <f t="shared" si="1"/>
        <v>133.30000000000001</v>
      </c>
      <c r="J12" s="13">
        <f t="shared" si="2"/>
        <v>66.650000000000006</v>
      </c>
      <c r="K12" s="7">
        <v>79.7</v>
      </c>
      <c r="L12" s="18">
        <f t="shared" si="3"/>
        <v>73.175000000000011</v>
      </c>
      <c r="M12" s="7">
        <v>10</v>
      </c>
    </row>
    <row r="13" spans="1:16" ht="17.25" customHeight="1">
      <c r="A13" s="7">
        <v>11</v>
      </c>
      <c r="B13" s="13" t="str">
        <f t="shared" si="0"/>
        <v>101</v>
      </c>
      <c r="C13" s="13" t="s">
        <v>13</v>
      </c>
      <c r="D13" s="13" t="str">
        <f>"张雨若"</f>
        <v>张雨若</v>
      </c>
      <c r="E13" s="13" t="str">
        <f>"2022023303"</f>
        <v>2022023303</v>
      </c>
      <c r="F13" s="17" t="s">
        <v>34</v>
      </c>
      <c r="G13" s="17" t="s">
        <v>35</v>
      </c>
      <c r="H13" s="13">
        <v>30</v>
      </c>
      <c r="I13" s="13">
        <f t="shared" si="1"/>
        <v>132.30000000000001</v>
      </c>
      <c r="J13" s="13">
        <f t="shared" si="2"/>
        <v>66.150000000000006</v>
      </c>
      <c r="K13" s="7">
        <v>79.86</v>
      </c>
      <c r="L13" s="18">
        <f t="shared" si="3"/>
        <v>73.004999999999995</v>
      </c>
      <c r="M13" s="7">
        <v>11</v>
      </c>
    </row>
    <row r="14" spans="1:16" ht="17.25" customHeight="1">
      <c r="A14" s="7">
        <v>12</v>
      </c>
      <c r="B14" s="13" t="str">
        <f t="shared" si="0"/>
        <v>101</v>
      </c>
      <c r="C14" s="13" t="s">
        <v>13</v>
      </c>
      <c r="D14" s="13" t="str">
        <f>"张雨晨"</f>
        <v>张雨晨</v>
      </c>
      <c r="E14" s="13" t="str">
        <f>"2022020125"</f>
        <v>2022020125</v>
      </c>
      <c r="F14" s="17" t="s">
        <v>36</v>
      </c>
      <c r="G14" s="17" t="s">
        <v>37</v>
      </c>
      <c r="H14" s="13">
        <v>30</v>
      </c>
      <c r="I14" s="13">
        <f t="shared" si="1"/>
        <v>129.80000000000001</v>
      </c>
      <c r="J14" s="13">
        <f t="shared" si="2"/>
        <v>64.900000000000006</v>
      </c>
      <c r="K14" s="7">
        <v>81.08</v>
      </c>
      <c r="L14" s="18">
        <f t="shared" si="3"/>
        <v>72.990000000000009</v>
      </c>
      <c r="M14" s="7">
        <v>12</v>
      </c>
    </row>
    <row r="15" spans="1:16" ht="17.25" customHeight="1">
      <c r="A15" s="7">
        <v>13</v>
      </c>
      <c r="B15" s="13" t="str">
        <f t="shared" si="0"/>
        <v>101</v>
      </c>
      <c r="C15" s="13" t="s">
        <v>13</v>
      </c>
      <c r="D15" s="13" t="str">
        <f>"王溪溪"</f>
        <v>王溪溪</v>
      </c>
      <c r="E15" s="13" t="str">
        <f>"2022023010"</f>
        <v>2022023010</v>
      </c>
      <c r="F15" s="17" t="s">
        <v>38</v>
      </c>
      <c r="G15" s="17" t="s">
        <v>39</v>
      </c>
      <c r="H15" s="13">
        <v>30</v>
      </c>
      <c r="I15" s="13">
        <f t="shared" si="1"/>
        <v>139.6</v>
      </c>
      <c r="J15" s="13">
        <f t="shared" si="2"/>
        <v>69.8</v>
      </c>
      <c r="K15" s="7">
        <v>75.180000000000007</v>
      </c>
      <c r="L15" s="18">
        <f t="shared" si="3"/>
        <v>72.490000000000009</v>
      </c>
      <c r="M15" s="7">
        <v>13</v>
      </c>
    </row>
    <row r="16" spans="1:16" ht="17.25" customHeight="1">
      <c r="A16" s="7">
        <v>14</v>
      </c>
      <c r="B16" s="13" t="str">
        <f t="shared" si="0"/>
        <v>101</v>
      </c>
      <c r="C16" s="13" t="s">
        <v>13</v>
      </c>
      <c r="D16" s="13" t="str">
        <f>"蒋丽茹"</f>
        <v>蒋丽茹</v>
      </c>
      <c r="E16" s="13" t="str">
        <f>"2022020303"</f>
        <v>2022020303</v>
      </c>
      <c r="F16" s="17" t="s">
        <v>40</v>
      </c>
      <c r="G16" s="17" t="s">
        <v>41</v>
      </c>
      <c r="H16" s="13">
        <v>28</v>
      </c>
      <c r="I16" s="13">
        <f t="shared" si="1"/>
        <v>136.30000000000001</v>
      </c>
      <c r="J16" s="13">
        <f t="shared" si="2"/>
        <v>68.150000000000006</v>
      </c>
      <c r="K16" s="7">
        <v>76.3</v>
      </c>
      <c r="L16" s="18">
        <f t="shared" si="3"/>
        <v>72.224999999999994</v>
      </c>
      <c r="M16" s="7">
        <v>14</v>
      </c>
    </row>
    <row r="17" spans="1:13">
      <c r="A17" s="7">
        <v>15</v>
      </c>
      <c r="B17" s="13" t="str">
        <f t="shared" si="0"/>
        <v>101</v>
      </c>
      <c r="C17" s="13" t="s">
        <v>13</v>
      </c>
      <c r="D17" s="13" t="str">
        <f>"张薇玮"</f>
        <v>张薇玮</v>
      </c>
      <c r="E17" s="13" t="str">
        <f>"2022021426"</f>
        <v>2022021426</v>
      </c>
      <c r="F17" s="17" t="s">
        <v>42</v>
      </c>
      <c r="G17" s="17" t="s">
        <v>43</v>
      </c>
      <c r="H17" s="13">
        <v>26</v>
      </c>
      <c r="I17" s="13">
        <f t="shared" si="1"/>
        <v>131.9</v>
      </c>
      <c r="J17" s="13">
        <f t="shared" si="2"/>
        <v>65.95</v>
      </c>
      <c r="K17" s="7">
        <v>78.38</v>
      </c>
      <c r="L17" s="18">
        <f t="shared" si="3"/>
        <v>72.164999999999992</v>
      </c>
      <c r="M17" s="7">
        <v>15</v>
      </c>
    </row>
    <row r="18" spans="1:13">
      <c r="A18" s="7">
        <v>16</v>
      </c>
      <c r="B18" s="13" t="str">
        <f t="shared" ref="B18:B32" si="4">"102"</f>
        <v>102</v>
      </c>
      <c r="C18" s="13" t="s">
        <v>63</v>
      </c>
      <c r="D18" s="13" t="str">
        <f>"刘靓"</f>
        <v>刘靓</v>
      </c>
      <c r="E18" s="13" t="str">
        <f>"2022020221"</f>
        <v>2022020221</v>
      </c>
      <c r="F18" s="17" t="s">
        <v>64</v>
      </c>
      <c r="G18" s="17" t="s">
        <v>65</v>
      </c>
      <c r="H18" s="13">
        <v>30</v>
      </c>
      <c r="I18" s="13">
        <f t="shared" si="1"/>
        <v>136</v>
      </c>
      <c r="J18" s="13">
        <f t="shared" si="2"/>
        <v>68</v>
      </c>
      <c r="K18" s="7">
        <v>82.4</v>
      </c>
      <c r="L18" s="18">
        <f t="shared" si="3"/>
        <v>75.2</v>
      </c>
      <c r="M18" s="7">
        <v>1</v>
      </c>
    </row>
    <row r="19" spans="1:13">
      <c r="A19" s="7">
        <v>17</v>
      </c>
      <c r="B19" s="13" t="str">
        <f t="shared" si="4"/>
        <v>102</v>
      </c>
      <c r="C19" s="13" t="s">
        <v>63</v>
      </c>
      <c r="D19" s="13" t="str">
        <f>"李明"</f>
        <v>李明</v>
      </c>
      <c r="E19" s="13" t="str">
        <f>"2022022825"</f>
        <v>2022022825</v>
      </c>
      <c r="F19" s="17" t="s">
        <v>66</v>
      </c>
      <c r="G19" s="17" t="s">
        <v>23</v>
      </c>
      <c r="H19" s="13">
        <v>29</v>
      </c>
      <c r="I19" s="13">
        <f t="shared" si="1"/>
        <v>134</v>
      </c>
      <c r="J19" s="13">
        <f t="shared" si="2"/>
        <v>67</v>
      </c>
      <c r="K19" s="7">
        <v>82.8</v>
      </c>
      <c r="L19" s="18">
        <f t="shared" si="3"/>
        <v>74.900000000000006</v>
      </c>
      <c r="M19" s="7">
        <v>2</v>
      </c>
    </row>
    <row r="20" spans="1:13">
      <c r="A20" s="7">
        <v>18</v>
      </c>
      <c r="B20" s="13" t="str">
        <f t="shared" si="4"/>
        <v>102</v>
      </c>
      <c r="C20" s="13" t="s">
        <v>63</v>
      </c>
      <c r="D20" s="13" t="str">
        <f>"陈飞"</f>
        <v>陈飞</v>
      </c>
      <c r="E20" s="13" t="str">
        <f>"2022022215"</f>
        <v>2022022215</v>
      </c>
      <c r="F20" s="17" t="s">
        <v>67</v>
      </c>
      <c r="G20" s="17" t="s">
        <v>68</v>
      </c>
      <c r="H20" s="13">
        <v>29</v>
      </c>
      <c r="I20" s="13">
        <f t="shared" si="1"/>
        <v>133.80000000000001</v>
      </c>
      <c r="J20" s="13">
        <f t="shared" si="2"/>
        <v>66.900000000000006</v>
      </c>
      <c r="K20" s="7">
        <v>78</v>
      </c>
      <c r="L20" s="18">
        <f t="shared" si="3"/>
        <v>72.45</v>
      </c>
      <c r="M20" s="7">
        <v>3</v>
      </c>
    </row>
    <row r="21" spans="1:13">
      <c r="A21" s="7">
        <v>19</v>
      </c>
      <c r="B21" s="13" t="str">
        <f t="shared" si="4"/>
        <v>102</v>
      </c>
      <c r="C21" s="13" t="s">
        <v>63</v>
      </c>
      <c r="D21" s="13" t="str">
        <f>"王倩倩"</f>
        <v>王倩倩</v>
      </c>
      <c r="E21" s="13" t="str">
        <f>"2022024212"</f>
        <v>2022024212</v>
      </c>
      <c r="F21" s="17" t="s">
        <v>69</v>
      </c>
      <c r="G21" s="17" t="s">
        <v>70</v>
      </c>
      <c r="H21" s="13">
        <v>29</v>
      </c>
      <c r="I21" s="13">
        <f t="shared" si="1"/>
        <v>123.6</v>
      </c>
      <c r="J21" s="13">
        <f t="shared" si="2"/>
        <v>61.8</v>
      </c>
      <c r="K21" s="7">
        <v>82.6</v>
      </c>
      <c r="L21" s="18">
        <f t="shared" si="3"/>
        <v>72.199999999999989</v>
      </c>
      <c r="M21" s="7">
        <v>4</v>
      </c>
    </row>
    <row r="22" spans="1:13">
      <c r="A22" s="7">
        <v>20</v>
      </c>
      <c r="B22" s="13" t="str">
        <f t="shared" si="4"/>
        <v>102</v>
      </c>
      <c r="C22" s="13" t="s">
        <v>63</v>
      </c>
      <c r="D22" s="13" t="str">
        <f>"吴霄雯"</f>
        <v>吴霄雯</v>
      </c>
      <c r="E22" s="13" t="str">
        <f>"2022020524"</f>
        <v>2022020524</v>
      </c>
      <c r="F22" s="17" t="s">
        <v>71</v>
      </c>
      <c r="G22" s="17" t="s">
        <v>70</v>
      </c>
      <c r="H22" s="13">
        <v>28</v>
      </c>
      <c r="I22" s="13">
        <f t="shared" si="1"/>
        <v>129.19999999999999</v>
      </c>
      <c r="J22" s="13">
        <f t="shared" si="2"/>
        <v>64.599999999999994</v>
      </c>
      <c r="K22" s="7">
        <v>79.599999999999994</v>
      </c>
      <c r="L22" s="18">
        <f t="shared" si="3"/>
        <v>72.099999999999994</v>
      </c>
      <c r="M22" s="7">
        <v>5</v>
      </c>
    </row>
    <row r="23" spans="1:13">
      <c r="A23" s="7">
        <v>21</v>
      </c>
      <c r="B23" s="13" t="str">
        <f t="shared" si="4"/>
        <v>102</v>
      </c>
      <c r="C23" s="13" t="s">
        <v>63</v>
      </c>
      <c r="D23" s="13" t="str">
        <f>"徐子辰"</f>
        <v>徐子辰</v>
      </c>
      <c r="E23" s="13" t="str">
        <f>"2022022305"</f>
        <v>2022022305</v>
      </c>
      <c r="F23" s="17" t="s">
        <v>54</v>
      </c>
      <c r="G23" s="17" t="s">
        <v>72</v>
      </c>
      <c r="H23" s="13">
        <v>30</v>
      </c>
      <c r="I23" s="13">
        <f t="shared" si="1"/>
        <v>132.80000000000001</v>
      </c>
      <c r="J23" s="13">
        <f t="shared" si="2"/>
        <v>66.400000000000006</v>
      </c>
      <c r="K23" s="7">
        <v>77.2</v>
      </c>
      <c r="L23" s="18">
        <f t="shared" si="3"/>
        <v>71.800000000000011</v>
      </c>
      <c r="M23" s="7">
        <v>6</v>
      </c>
    </row>
    <row r="24" spans="1:13">
      <c r="A24" s="7">
        <v>22</v>
      </c>
      <c r="B24" s="13" t="str">
        <f t="shared" si="4"/>
        <v>102</v>
      </c>
      <c r="C24" s="13" t="s">
        <v>63</v>
      </c>
      <c r="D24" s="13" t="str">
        <f>"葛金玉"</f>
        <v>葛金玉</v>
      </c>
      <c r="E24" s="13" t="str">
        <f>"2022023312"</f>
        <v>2022023312</v>
      </c>
      <c r="F24" s="17" t="s">
        <v>73</v>
      </c>
      <c r="G24" s="17" t="s">
        <v>74</v>
      </c>
      <c r="H24" s="13">
        <v>30</v>
      </c>
      <c r="I24" s="13">
        <f t="shared" si="1"/>
        <v>141.10000000000002</v>
      </c>
      <c r="J24" s="13">
        <f t="shared" si="2"/>
        <v>70.550000000000011</v>
      </c>
      <c r="K24" s="7">
        <v>73</v>
      </c>
      <c r="L24" s="18">
        <f t="shared" si="3"/>
        <v>71.775000000000006</v>
      </c>
      <c r="M24" s="7">
        <v>7</v>
      </c>
    </row>
    <row r="25" spans="1:13">
      <c r="A25" s="7">
        <v>23</v>
      </c>
      <c r="B25" s="13" t="str">
        <f t="shared" si="4"/>
        <v>102</v>
      </c>
      <c r="C25" s="13" t="s">
        <v>63</v>
      </c>
      <c r="D25" s="13" t="str">
        <f>"康瑞洪"</f>
        <v>康瑞洪</v>
      </c>
      <c r="E25" s="13" t="str">
        <f>"2022024001"</f>
        <v>2022024001</v>
      </c>
      <c r="F25" s="17" t="s">
        <v>50</v>
      </c>
      <c r="G25" s="17" t="s">
        <v>23</v>
      </c>
      <c r="H25" s="13">
        <v>29</v>
      </c>
      <c r="I25" s="13">
        <f t="shared" si="1"/>
        <v>129.5</v>
      </c>
      <c r="J25" s="13">
        <f t="shared" si="2"/>
        <v>64.75</v>
      </c>
      <c r="K25" s="7">
        <v>77.8</v>
      </c>
      <c r="L25" s="18">
        <f t="shared" si="3"/>
        <v>71.275000000000006</v>
      </c>
      <c r="M25" s="7">
        <v>8</v>
      </c>
    </row>
    <row r="26" spans="1:13">
      <c r="A26" s="7">
        <v>24</v>
      </c>
      <c r="B26" s="13" t="str">
        <f t="shared" si="4"/>
        <v>102</v>
      </c>
      <c r="C26" s="13" t="s">
        <v>63</v>
      </c>
      <c r="D26" s="13" t="str">
        <f>"周瑞"</f>
        <v>周瑞</v>
      </c>
      <c r="E26" s="13" t="str">
        <f>"2022023113"</f>
        <v>2022023113</v>
      </c>
      <c r="F26" s="17" t="s">
        <v>67</v>
      </c>
      <c r="G26" s="17" t="s">
        <v>75</v>
      </c>
      <c r="H26" s="13">
        <v>29</v>
      </c>
      <c r="I26" s="13">
        <f t="shared" si="1"/>
        <v>136.30000000000001</v>
      </c>
      <c r="J26" s="13">
        <f t="shared" si="2"/>
        <v>68.150000000000006</v>
      </c>
      <c r="K26" s="7">
        <v>74</v>
      </c>
      <c r="L26" s="18">
        <f t="shared" si="3"/>
        <v>71.075000000000003</v>
      </c>
      <c r="M26" s="7">
        <v>9</v>
      </c>
    </row>
    <row r="27" spans="1:13">
      <c r="A27" s="7">
        <v>25</v>
      </c>
      <c r="B27" s="9" t="str">
        <f t="shared" si="4"/>
        <v>102</v>
      </c>
      <c r="C27" s="9" t="s">
        <v>63</v>
      </c>
      <c r="D27" s="9" t="str">
        <f>"徐云巧"</f>
        <v>徐云巧</v>
      </c>
      <c r="E27" s="9" t="str">
        <f>"2022022223"</f>
        <v>2022022223</v>
      </c>
      <c r="F27" s="10" t="s">
        <v>76</v>
      </c>
      <c r="G27" s="10" t="s">
        <v>37</v>
      </c>
      <c r="H27" s="9">
        <v>29</v>
      </c>
      <c r="I27" s="9">
        <f t="shared" si="1"/>
        <v>130.80000000000001</v>
      </c>
      <c r="J27" s="9">
        <f t="shared" si="2"/>
        <v>65.400000000000006</v>
      </c>
      <c r="K27" s="8">
        <v>76.2</v>
      </c>
      <c r="L27" s="11">
        <f t="shared" si="3"/>
        <v>70.800000000000011</v>
      </c>
      <c r="M27" s="8">
        <v>10</v>
      </c>
    </row>
    <row r="28" spans="1:13">
      <c r="A28" s="7">
        <v>26</v>
      </c>
      <c r="B28" s="9" t="str">
        <f t="shared" si="4"/>
        <v>102</v>
      </c>
      <c r="C28" s="9" t="s">
        <v>63</v>
      </c>
      <c r="D28" s="9" t="str">
        <f>"石王露"</f>
        <v>石王露</v>
      </c>
      <c r="E28" s="9" t="str">
        <f>"2022023517"</f>
        <v>2022023517</v>
      </c>
      <c r="F28" s="10" t="s">
        <v>57</v>
      </c>
      <c r="G28" s="10" t="s">
        <v>41</v>
      </c>
      <c r="H28" s="9">
        <v>29</v>
      </c>
      <c r="I28" s="9">
        <f t="shared" si="1"/>
        <v>130.80000000000001</v>
      </c>
      <c r="J28" s="9">
        <f t="shared" si="2"/>
        <v>65.400000000000006</v>
      </c>
      <c r="K28" s="8">
        <v>76</v>
      </c>
      <c r="L28" s="11">
        <f t="shared" si="3"/>
        <v>70.7</v>
      </c>
      <c r="M28" s="8">
        <v>11</v>
      </c>
    </row>
    <row r="29" spans="1:13">
      <c r="A29" s="7">
        <v>27</v>
      </c>
      <c r="B29" s="9" t="str">
        <f t="shared" si="4"/>
        <v>102</v>
      </c>
      <c r="C29" s="9" t="s">
        <v>63</v>
      </c>
      <c r="D29" s="9" t="str">
        <f>"丁倩"</f>
        <v>丁倩</v>
      </c>
      <c r="E29" s="9" t="str">
        <f>"2022023402"</f>
        <v>2022023402</v>
      </c>
      <c r="F29" s="10" t="s">
        <v>62</v>
      </c>
      <c r="G29" s="10" t="s">
        <v>58</v>
      </c>
      <c r="H29" s="9">
        <v>30</v>
      </c>
      <c r="I29" s="9">
        <f t="shared" si="1"/>
        <v>130.30000000000001</v>
      </c>
      <c r="J29" s="9">
        <f t="shared" si="2"/>
        <v>65.150000000000006</v>
      </c>
      <c r="K29" s="8">
        <v>76.2</v>
      </c>
      <c r="L29" s="11">
        <f t="shared" si="3"/>
        <v>70.675000000000011</v>
      </c>
      <c r="M29" s="8">
        <v>12</v>
      </c>
    </row>
    <row r="30" spans="1:13">
      <c r="A30" s="7">
        <v>28</v>
      </c>
      <c r="B30" s="9" t="str">
        <f t="shared" si="4"/>
        <v>102</v>
      </c>
      <c r="C30" s="9" t="s">
        <v>63</v>
      </c>
      <c r="D30" s="9" t="str">
        <f>"张情缘"</f>
        <v>张情缘</v>
      </c>
      <c r="E30" s="9" t="str">
        <f>"2022022605"</f>
        <v>2022022605</v>
      </c>
      <c r="F30" s="10" t="s">
        <v>77</v>
      </c>
      <c r="G30" s="10" t="s">
        <v>41</v>
      </c>
      <c r="H30" s="9">
        <v>30</v>
      </c>
      <c r="I30" s="9">
        <f t="shared" si="1"/>
        <v>136.5</v>
      </c>
      <c r="J30" s="9">
        <f t="shared" si="2"/>
        <v>68.25</v>
      </c>
      <c r="K30" s="8">
        <v>72.599999999999994</v>
      </c>
      <c r="L30" s="11">
        <f t="shared" si="3"/>
        <v>70.424999999999997</v>
      </c>
      <c r="M30" s="8">
        <v>13</v>
      </c>
    </row>
    <row r="31" spans="1:13">
      <c r="A31" s="7">
        <v>29</v>
      </c>
      <c r="B31" s="9" t="str">
        <f t="shared" si="4"/>
        <v>102</v>
      </c>
      <c r="C31" s="9" t="s">
        <v>63</v>
      </c>
      <c r="D31" s="9" t="str">
        <f>"张耀津"</f>
        <v>张耀津</v>
      </c>
      <c r="E31" s="9" t="str">
        <f>"2022021020"</f>
        <v>2022021020</v>
      </c>
      <c r="F31" s="10" t="s">
        <v>78</v>
      </c>
      <c r="G31" s="10" t="s">
        <v>79</v>
      </c>
      <c r="H31" s="9">
        <v>30</v>
      </c>
      <c r="I31" s="9">
        <f t="shared" si="1"/>
        <v>136.4</v>
      </c>
      <c r="J31" s="9">
        <f t="shared" si="2"/>
        <v>68.2</v>
      </c>
      <c r="K31" s="8">
        <v>72.400000000000006</v>
      </c>
      <c r="L31" s="11">
        <f t="shared" si="3"/>
        <v>70.300000000000011</v>
      </c>
      <c r="M31" s="8">
        <v>14</v>
      </c>
    </row>
    <row r="32" spans="1:13">
      <c r="A32" s="7">
        <v>30</v>
      </c>
      <c r="B32" s="9" t="str">
        <f t="shared" si="4"/>
        <v>102</v>
      </c>
      <c r="C32" s="9" t="s">
        <v>63</v>
      </c>
      <c r="D32" s="9" t="str">
        <f>"罗姗姗"</f>
        <v>罗姗姗</v>
      </c>
      <c r="E32" s="9" t="str">
        <f>"2022021914"</f>
        <v>2022021914</v>
      </c>
      <c r="F32" s="10" t="s">
        <v>80</v>
      </c>
      <c r="G32" s="10" t="s">
        <v>27</v>
      </c>
      <c r="H32" s="9">
        <v>30</v>
      </c>
      <c r="I32" s="9">
        <f t="shared" si="1"/>
        <v>129.30000000000001</v>
      </c>
      <c r="J32" s="9">
        <f t="shared" si="2"/>
        <v>64.650000000000006</v>
      </c>
      <c r="K32" s="8">
        <v>74.2</v>
      </c>
      <c r="L32" s="11">
        <f t="shared" si="3"/>
        <v>69.425000000000011</v>
      </c>
      <c r="M32" s="8">
        <v>15</v>
      </c>
    </row>
    <row r="33" spans="1:13">
      <c r="A33" s="7">
        <v>31</v>
      </c>
      <c r="B33" s="9" t="str">
        <f t="shared" ref="B33:B52" si="5">"103"</f>
        <v>103</v>
      </c>
      <c r="C33" s="9" t="s">
        <v>91</v>
      </c>
      <c r="D33" s="9" t="str">
        <f>"党文英"</f>
        <v>党文英</v>
      </c>
      <c r="E33" s="9" t="str">
        <f>"2022023629"</f>
        <v>2022023629</v>
      </c>
      <c r="F33" s="10" t="s">
        <v>44</v>
      </c>
      <c r="G33" s="10" t="s">
        <v>92</v>
      </c>
      <c r="H33" s="9">
        <v>30</v>
      </c>
      <c r="I33" s="9">
        <f t="shared" si="1"/>
        <v>142.80000000000001</v>
      </c>
      <c r="J33" s="9">
        <f t="shared" si="2"/>
        <v>71.400000000000006</v>
      </c>
      <c r="K33" s="8">
        <v>83.66</v>
      </c>
      <c r="L33" s="11">
        <f t="shared" si="3"/>
        <v>77.53</v>
      </c>
      <c r="M33" s="8">
        <v>1</v>
      </c>
    </row>
    <row r="34" spans="1:13">
      <c r="A34" s="7">
        <v>32</v>
      </c>
      <c r="B34" s="9" t="str">
        <f t="shared" si="5"/>
        <v>103</v>
      </c>
      <c r="C34" s="9" t="s">
        <v>91</v>
      </c>
      <c r="D34" s="9" t="str">
        <f>"张莹"</f>
        <v>张莹</v>
      </c>
      <c r="E34" s="9" t="str">
        <f>"2022020913"</f>
        <v>2022020913</v>
      </c>
      <c r="F34" s="10" t="s">
        <v>55</v>
      </c>
      <c r="G34" s="10" t="s">
        <v>93</v>
      </c>
      <c r="H34" s="9">
        <v>29</v>
      </c>
      <c r="I34" s="9">
        <f t="shared" si="1"/>
        <v>145.30000000000001</v>
      </c>
      <c r="J34" s="9">
        <f t="shared" si="2"/>
        <v>72.650000000000006</v>
      </c>
      <c r="K34" s="8">
        <v>80.900000000000006</v>
      </c>
      <c r="L34" s="11">
        <f t="shared" si="3"/>
        <v>76.775000000000006</v>
      </c>
      <c r="M34" s="8">
        <v>2</v>
      </c>
    </row>
    <row r="35" spans="1:13">
      <c r="A35" s="7">
        <v>33</v>
      </c>
      <c r="B35" s="9" t="str">
        <f t="shared" si="5"/>
        <v>103</v>
      </c>
      <c r="C35" s="9" t="s">
        <v>91</v>
      </c>
      <c r="D35" s="9" t="str">
        <f>"李峥嵘"</f>
        <v>李峥嵘</v>
      </c>
      <c r="E35" s="9" t="str">
        <f>"2022022205"</f>
        <v>2022022205</v>
      </c>
      <c r="F35" s="10" t="s">
        <v>94</v>
      </c>
      <c r="G35" s="10" t="s">
        <v>95</v>
      </c>
      <c r="H35" s="9">
        <v>30</v>
      </c>
      <c r="I35" s="9">
        <f t="shared" ref="I35:I66" si="6">F35+G35+H35</f>
        <v>143.80000000000001</v>
      </c>
      <c r="J35" s="9">
        <f t="shared" ref="J35:J66" si="7">I35/2</f>
        <v>71.900000000000006</v>
      </c>
      <c r="K35" s="8">
        <v>81.22</v>
      </c>
      <c r="L35" s="11">
        <f t="shared" ref="L35:L66" si="8">J35/2+K35/2</f>
        <v>76.56</v>
      </c>
      <c r="M35" s="8">
        <v>3</v>
      </c>
    </row>
    <row r="36" spans="1:13">
      <c r="A36" s="7">
        <v>34</v>
      </c>
      <c r="B36" s="9" t="str">
        <f t="shared" si="5"/>
        <v>103</v>
      </c>
      <c r="C36" s="9" t="s">
        <v>91</v>
      </c>
      <c r="D36" s="9" t="str">
        <f>"王雯雯"</f>
        <v>王雯雯</v>
      </c>
      <c r="E36" s="9" t="str">
        <f>"2022021509"</f>
        <v>2022021509</v>
      </c>
      <c r="F36" s="10" t="s">
        <v>96</v>
      </c>
      <c r="G36" s="10" t="s">
        <v>97</v>
      </c>
      <c r="H36" s="9">
        <v>30</v>
      </c>
      <c r="I36" s="9">
        <f t="shared" si="6"/>
        <v>137.5</v>
      </c>
      <c r="J36" s="9">
        <f t="shared" si="7"/>
        <v>68.75</v>
      </c>
      <c r="K36" s="8">
        <v>82.34</v>
      </c>
      <c r="L36" s="11">
        <f t="shared" si="8"/>
        <v>75.545000000000002</v>
      </c>
      <c r="M36" s="8">
        <v>4</v>
      </c>
    </row>
    <row r="37" spans="1:13">
      <c r="A37" s="7">
        <v>35</v>
      </c>
      <c r="B37" s="9" t="str">
        <f t="shared" si="5"/>
        <v>103</v>
      </c>
      <c r="C37" s="9" t="s">
        <v>91</v>
      </c>
      <c r="D37" s="9" t="str">
        <f>"陈丁丁"</f>
        <v>陈丁丁</v>
      </c>
      <c r="E37" s="9" t="str">
        <f>"2022020313"</f>
        <v>2022020313</v>
      </c>
      <c r="F37" s="10" t="s">
        <v>98</v>
      </c>
      <c r="G37" s="10" t="s">
        <v>99</v>
      </c>
      <c r="H37" s="9">
        <v>28</v>
      </c>
      <c r="I37" s="9">
        <f t="shared" si="6"/>
        <v>146.4</v>
      </c>
      <c r="J37" s="9">
        <f t="shared" si="7"/>
        <v>73.2</v>
      </c>
      <c r="K37" s="8">
        <v>77.28</v>
      </c>
      <c r="L37" s="11">
        <f t="shared" si="8"/>
        <v>75.240000000000009</v>
      </c>
      <c r="M37" s="8">
        <v>5</v>
      </c>
    </row>
    <row r="38" spans="1:13">
      <c r="A38" s="7">
        <v>36</v>
      </c>
      <c r="B38" s="9" t="str">
        <f t="shared" si="5"/>
        <v>103</v>
      </c>
      <c r="C38" s="9" t="s">
        <v>91</v>
      </c>
      <c r="D38" s="9" t="str">
        <f>"李萌萌"</f>
        <v>李萌萌</v>
      </c>
      <c r="E38" s="9" t="str">
        <f>"2022023910"</f>
        <v>2022023910</v>
      </c>
      <c r="F38" s="10" t="s">
        <v>100</v>
      </c>
      <c r="G38" s="10" t="s">
        <v>81</v>
      </c>
      <c r="H38" s="9">
        <v>28</v>
      </c>
      <c r="I38" s="9">
        <f t="shared" si="6"/>
        <v>128.9</v>
      </c>
      <c r="J38" s="9">
        <f t="shared" si="7"/>
        <v>64.45</v>
      </c>
      <c r="K38" s="8">
        <v>84</v>
      </c>
      <c r="L38" s="11">
        <f t="shared" si="8"/>
        <v>74.224999999999994</v>
      </c>
      <c r="M38" s="8">
        <v>6</v>
      </c>
    </row>
    <row r="39" spans="1:13">
      <c r="A39" s="7">
        <v>37</v>
      </c>
      <c r="B39" s="9" t="str">
        <f t="shared" si="5"/>
        <v>103</v>
      </c>
      <c r="C39" s="9" t="s">
        <v>91</v>
      </c>
      <c r="D39" s="9" t="str">
        <f>"郑楠楠"</f>
        <v>郑楠楠</v>
      </c>
      <c r="E39" s="9" t="str">
        <f>"2022021728"</f>
        <v>2022021728</v>
      </c>
      <c r="F39" s="10" t="s">
        <v>101</v>
      </c>
      <c r="G39" s="10" t="s">
        <v>52</v>
      </c>
      <c r="H39" s="9">
        <v>30</v>
      </c>
      <c r="I39" s="9">
        <f t="shared" si="6"/>
        <v>130.1</v>
      </c>
      <c r="J39" s="9">
        <f t="shared" si="7"/>
        <v>65.05</v>
      </c>
      <c r="K39" s="8">
        <v>82.54</v>
      </c>
      <c r="L39" s="11">
        <f t="shared" si="8"/>
        <v>73.795000000000002</v>
      </c>
      <c r="M39" s="8">
        <v>7</v>
      </c>
    </row>
    <row r="40" spans="1:13">
      <c r="A40" s="7">
        <v>38</v>
      </c>
      <c r="B40" s="9" t="str">
        <f t="shared" si="5"/>
        <v>103</v>
      </c>
      <c r="C40" s="9" t="s">
        <v>91</v>
      </c>
      <c r="D40" s="9" t="str">
        <f>"刘亚莉"</f>
        <v>刘亚莉</v>
      </c>
      <c r="E40" s="9" t="str">
        <f>"2022022709"</f>
        <v>2022022709</v>
      </c>
      <c r="F40" s="10" t="s">
        <v>102</v>
      </c>
      <c r="G40" s="10" t="s">
        <v>52</v>
      </c>
      <c r="H40" s="9">
        <v>22</v>
      </c>
      <c r="I40" s="9">
        <f t="shared" si="6"/>
        <v>125.1</v>
      </c>
      <c r="J40" s="9">
        <f t="shared" si="7"/>
        <v>62.55</v>
      </c>
      <c r="K40" s="8">
        <v>83</v>
      </c>
      <c r="L40" s="11">
        <f t="shared" si="8"/>
        <v>72.775000000000006</v>
      </c>
      <c r="M40" s="8">
        <v>8</v>
      </c>
    </row>
    <row r="41" spans="1:13">
      <c r="A41" s="7">
        <v>39</v>
      </c>
      <c r="B41" s="9" t="str">
        <f t="shared" si="5"/>
        <v>103</v>
      </c>
      <c r="C41" s="9" t="s">
        <v>91</v>
      </c>
      <c r="D41" s="9" t="str">
        <f>"陈雪萍"</f>
        <v>陈雪萍</v>
      </c>
      <c r="E41" s="9" t="str">
        <f>"2022020421"</f>
        <v>2022020421</v>
      </c>
      <c r="F41" s="10" t="s">
        <v>103</v>
      </c>
      <c r="G41" s="10" t="s">
        <v>104</v>
      </c>
      <c r="H41" s="9">
        <v>30</v>
      </c>
      <c r="I41" s="9">
        <f t="shared" si="6"/>
        <v>122.4</v>
      </c>
      <c r="J41" s="9">
        <f t="shared" si="7"/>
        <v>61.2</v>
      </c>
      <c r="K41" s="8">
        <v>83.88</v>
      </c>
      <c r="L41" s="11">
        <f t="shared" si="8"/>
        <v>72.539999999999992</v>
      </c>
      <c r="M41" s="8">
        <v>9</v>
      </c>
    </row>
    <row r="42" spans="1:13">
      <c r="A42" s="7">
        <v>40</v>
      </c>
      <c r="B42" s="9" t="str">
        <f t="shared" si="5"/>
        <v>103</v>
      </c>
      <c r="C42" s="9" t="s">
        <v>91</v>
      </c>
      <c r="D42" s="9" t="str">
        <f>"王小渊"</f>
        <v>王小渊</v>
      </c>
      <c r="E42" s="9" t="str">
        <f>"2022023618"</f>
        <v>2022023618</v>
      </c>
      <c r="F42" s="10" t="s">
        <v>85</v>
      </c>
      <c r="G42" s="10" t="s">
        <v>89</v>
      </c>
      <c r="H42" s="9">
        <v>29</v>
      </c>
      <c r="I42" s="9">
        <f t="shared" si="6"/>
        <v>132.80000000000001</v>
      </c>
      <c r="J42" s="9">
        <f t="shared" si="7"/>
        <v>66.400000000000006</v>
      </c>
      <c r="K42" s="8">
        <v>77.599999999999994</v>
      </c>
      <c r="L42" s="11">
        <f t="shared" si="8"/>
        <v>72</v>
      </c>
      <c r="M42" s="8">
        <v>10</v>
      </c>
    </row>
    <row r="43" spans="1:13">
      <c r="A43" s="7">
        <v>41</v>
      </c>
      <c r="B43" s="9" t="str">
        <f t="shared" si="5"/>
        <v>103</v>
      </c>
      <c r="C43" s="9" t="s">
        <v>91</v>
      </c>
      <c r="D43" s="9" t="str">
        <f>"董程程"</f>
        <v>董程程</v>
      </c>
      <c r="E43" s="9" t="str">
        <f>"2022022802"</f>
        <v>2022022802</v>
      </c>
      <c r="F43" s="10" t="s">
        <v>105</v>
      </c>
      <c r="G43" s="10" t="s">
        <v>106</v>
      </c>
      <c r="H43" s="9">
        <v>28</v>
      </c>
      <c r="I43" s="9">
        <f t="shared" si="6"/>
        <v>120.9</v>
      </c>
      <c r="J43" s="9">
        <f t="shared" si="7"/>
        <v>60.45</v>
      </c>
      <c r="K43" s="8">
        <v>83.36</v>
      </c>
      <c r="L43" s="11">
        <f t="shared" si="8"/>
        <v>71.905000000000001</v>
      </c>
      <c r="M43" s="8">
        <v>11</v>
      </c>
    </row>
    <row r="44" spans="1:13">
      <c r="A44" s="7">
        <v>42</v>
      </c>
      <c r="B44" s="9" t="str">
        <f t="shared" si="5"/>
        <v>103</v>
      </c>
      <c r="C44" s="9" t="s">
        <v>91</v>
      </c>
      <c r="D44" s="9" t="str">
        <f>"李丽"</f>
        <v>李丽</v>
      </c>
      <c r="E44" s="9" t="str">
        <f>"2022024202"</f>
        <v>2022024202</v>
      </c>
      <c r="F44" s="10" t="s">
        <v>107</v>
      </c>
      <c r="G44" s="10" t="s">
        <v>72</v>
      </c>
      <c r="H44" s="9">
        <v>28</v>
      </c>
      <c r="I44" s="9">
        <f t="shared" si="6"/>
        <v>121.9</v>
      </c>
      <c r="J44" s="9">
        <f t="shared" si="7"/>
        <v>60.95</v>
      </c>
      <c r="K44" s="8">
        <v>82.14</v>
      </c>
      <c r="L44" s="11">
        <f t="shared" si="8"/>
        <v>71.545000000000002</v>
      </c>
      <c r="M44" s="8">
        <v>12</v>
      </c>
    </row>
    <row r="45" spans="1:13">
      <c r="A45" s="7">
        <v>43</v>
      </c>
      <c r="B45" s="9" t="str">
        <f t="shared" si="5"/>
        <v>103</v>
      </c>
      <c r="C45" s="9" t="s">
        <v>91</v>
      </c>
      <c r="D45" s="9" t="str">
        <f>"张佳佳"</f>
        <v>张佳佳</v>
      </c>
      <c r="E45" s="9" t="str">
        <f>"2022023222"</f>
        <v>2022023222</v>
      </c>
      <c r="F45" s="10" t="s">
        <v>108</v>
      </c>
      <c r="G45" s="10" t="s">
        <v>47</v>
      </c>
      <c r="H45" s="9">
        <v>30</v>
      </c>
      <c r="I45" s="9">
        <f t="shared" si="6"/>
        <v>128.30000000000001</v>
      </c>
      <c r="J45" s="9">
        <f t="shared" si="7"/>
        <v>64.150000000000006</v>
      </c>
      <c r="K45" s="8">
        <v>78.92</v>
      </c>
      <c r="L45" s="11">
        <f t="shared" si="8"/>
        <v>71.534999999999997</v>
      </c>
      <c r="M45" s="8">
        <v>13</v>
      </c>
    </row>
    <row r="46" spans="1:13">
      <c r="A46" s="7">
        <v>44</v>
      </c>
      <c r="B46" s="9" t="str">
        <f t="shared" si="5"/>
        <v>103</v>
      </c>
      <c r="C46" s="9" t="s">
        <v>91</v>
      </c>
      <c r="D46" s="9" t="str">
        <f>"王新潮"</f>
        <v>王新潮</v>
      </c>
      <c r="E46" s="9" t="str">
        <f>"2022023701"</f>
        <v>2022023701</v>
      </c>
      <c r="F46" s="10" t="s">
        <v>109</v>
      </c>
      <c r="G46" s="10" t="s">
        <v>81</v>
      </c>
      <c r="H46" s="9">
        <v>29</v>
      </c>
      <c r="I46" s="9">
        <f t="shared" si="6"/>
        <v>131.30000000000001</v>
      </c>
      <c r="J46" s="9">
        <f t="shared" si="7"/>
        <v>65.650000000000006</v>
      </c>
      <c r="K46" s="8">
        <v>77.400000000000006</v>
      </c>
      <c r="L46" s="11">
        <f t="shared" si="8"/>
        <v>71.525000000000006</v>
      </c>
      <c r="M46" s="8">
        <v>14</v>
      </c>
    </row>
    <row r="47" spans="1:13">
      <c r="A47" s="7">
        <v>45</v>
      </c>
      <c r="B47" s="9" t="str">
        <f t="shared" si="5"/>
        <v>103</v>
      </c>
      <c r="C47" s="9" t="s">
        <v>91</v>
      </c>
      <c r="D47" s="9" t="str">
        <f>"刘慢慢"</f>
        <v>刘慢慢</v>
      </c>
      <c r="E47" s="9" t="str">
        <f>"2022022114"</f>
        <v>2022022114</v>
      </c>
      <c r="F47" s="10" t="s">
        <v>80</v>
      </c>
      <c r="G47" s="10" t="s">
        <v>33</v>
      </c>
      <c r="H47" s="9">
        <v>28</v>
      </c>
      <c r="I47" s="9">
        <f t="shared" si="6"/>
        <v>127.9</v>
      </c>
      <c r="J47" s="9">
        <f t="shared" si="7"/>
        <v>63.95</v>
      </c>
      <c r="K47" s="8">
        <v>79.08</v>
      </c>
      <c r="L47" s="11">
        <f t="shared" si="8"/>
        <v>71.515000000000001</v>
      </c>
      <c r="M47" s="8">
        <v>15</v>
      </c>
    </row>
    <row r="48" spans="1:13">
      <c r="A48" s="7">
        <v>46</v>
      </c>
      <c r="B48" s="9" t="str">
        <f t="shared" si="5"/>
        <v>103</v>
      </c>
      <c r="C48" s="9" t="s">
        <v>91</v>
      </c>
      <c r="D48" s="9" t="str">
        <f>"杨威"</f>
        <v>杨威</v>
      </c>
      <c r="E48" s="9" t="str">
        <f>"2022020423"</f>
        <v>2022020423</v>
      </c>
      <c r="F48" s="10" t="s">
        <v>62</v>
      </c>
      <c r="G48" s="10" t="s">
        <v>88</v>
      </c>
      <c r="H48" s="9">
        <v>30</v>
      </c>
      <c r="I48" s="9">
        <f t="shared" si="6"/>
        <v>125.4</v>
      </c>
      <c r="J48" s="9">
        <f t="shared" si="7"/>
        <v>62.7</v>
      </c>
      <c r="K48" s="8">
        <v>79.84</v>
      </c>
      <c r="L48" s="11">
        <f t="shared" si="8"/>
        <v>71.27000000000001</v>
      </c>
      <c r="M48" s="8">
        <v>16</v>
      </c>
    </row>
    <row r="49" spans="1:13">
      <c r="A49" s="7">
        <v>47</v>
      </c>
      <c r="B49" s="9" t="str">
        <f t="shared" si="5"/>
        <v>103</v>
      </c>
      <c r="C49" s="9" t="s">
        <v>91</v>
      </c>
      <c r="D49" s="9" t="str">
        <f>"王紫晓"</f>
        <v>王紫晓</v>
      </c>
      <c r="E49" s="9" t="str">
        <f>"2022023711"</f>
        <v>2022023711</v>
      </c>
      <c r="F49" s="10" t="s">
        <v>110</v>
      </c>
      <c r="G49" s="10" t="s">
        <v>111</v>
      </c>
      <c r="H49" s="9">
        <v>29</v>
      </c>
      <c r="I49" s="9">
        <f t="shared" si="6"/>
        <v>123</v>
      </c>
      <c r="J49" s="9">
        <f t="shared" si="7"/>
        <v>61.5</v>
      </c>
      <c r="K49" s="8">
        <v>80.52</v>
      </c>
      <c r="L49" s="11">
        <f t="shared" si="8"/>
        <v>71.009999999999991</v>
      </c>
      <c r="M49" s="8">
        <v>17</v>
      </c>
    </row>
    <row r="50" spans="1:13">
      <c r="A50" s="7">
        <v>48</v>
      </c>
      <c r="B50" s="9" t="str">
        <f t="shared" si="5"/>
        <v>103</v>
      </c>
      <c r="C50" s="9" t="s">
        <v>91</v>
      </c>
      <c r="D50" s="9" t="str">
        <f>"王雪"</f>
        <v>王雪</v>
      </c>
      <c r="E50" s="9" t="str">
        <f>"2022022523"</f>
        <v>2022022523</v>
      </c>
      <c r="F50" s="10" t="s">
        <v>89</v>
      </c>
      <c r="G50" s="10" t="s">
        <v>27</v>
      </c>
      <c r="H50" s="9">
        <v>29</v>
      </c>
      <c r="I50" s="9">
        <f t="shared" si="6"/>
        <v>123.6</v>
      </c>
      <c r="J50" s="9">
        <f t="shared" si="7"/>
        <v>61.8</v>
      </c>
      <c r="K50" s="8">
        <v>78.239999999999995</v>
      </c>
      <c r="L50" s="11">
        <f t="shared" si="8"/>
        <v>70.02</v>
      </c>
      <c r="M50" s="8">
        <v>18</v>
      </c>
    </row>
    <row r="51" spans="1:13">
      <c r="A51" s="7">
        <v>49</v>
      </c>
      <c r="B51" s="9" t="str">
        <f t="shared" si="5"/>
        <v>103</v>
      </c>
      <c r="C51" s="9" t="s">
        <v>91</v>
      </c>
      <c r="D51" s="9" t="str">
        <f>"孙梦梦"</f>
        <v>孙梦梦</v>
      </c>
      <c r="E51" s="9" t="str">
        <f>"2022023705"</f>
        <v>2022023705</v>
      </c>
      <c r="F51" s="10" t="s">
        <v>86</v>
      </c>
      <c r="G51" s="10" t="s">
        <v>112</v>
      </c>
      <c r="H51" s="9">
        <v>30</v>
      </c>
      <c r="I51" s="9">
        <f t="shared" si="6"/>
        <v>125.5</v>
      </c>
      <c r="J51" s="9">
        <f t="shared" si="7"/>
        <v>62.75</v>
      </c>
      <c r="K51" s="8">
        <v>76.98</v>
      </c>
      <c r="L51" s="11">
        <f t="shared" si="8"/>
        <v>69.865000000000009</v>
      </c>
      <c r="M51" s="8">
        <v>19</v>
      </c>
    </row>
    <row r="52" spans="1:13">
      <c r="A52" s="7">
        <v>50</v>
      </c>
      <c r="B52" s="9" t="str">
        <f t="shared" si="5"/>
        <v>103</v>
      </c>
      <c r="C52" s="9" t="s">
        <v>91</v>
      </c>
      <c r="D52" s="9" t="str">
        <f>"王欢欢"</f>
        <v>王欢欢</v>
      </c>
      <c r="E52" s="9" t="str">
        <f>"2022022704"</f>
        <v>2022022704</v>
      </c>
      <c r="F52" s="10" t="s">
        <v>113</v>
      </c>
      <c r="G52" s="10" t="s">
        <v>17</v>
      </c>
      <c r="H52" s="9">
        <v>30</v>
      </c>
      <c r="I52" s="9">
        <f t="shared" si="6"/>
        <v>123</v>
      </c>
      <c r="J52" s="9">
        <f t="shared" si="7"/>
        <v>61.5</v>
      </c>
      <c r="K52" s="8">
        <v>78.180000000000007</v>
      </c>
      <c r="L52" s="11">
        <f t="shared" si="8"/>
        <v>69.84</v>
      </c>
      <c r="M52" s="8">
        <v>20</v>
      </c>
    </row>
    <row r="53" spans="1:13">
      <c r="A53" s="7">
        <v>51</v>
      </c>
      <c r="B53" s="9" t="str">
        <f t="shared" ref="B53:B72" si="9">"104"</f>
        <v>104</v>
      </c>
      <c r="C53" s="9" t="s">
        <v>124</v>
      </c>
      <c r="D53" s="9" t="str">
        <f>"郭飞宇"</f>
        <v>郭飞宇</v>
      </c>
      <c r="E53" s="9" t="str">
        <f>"2022021716"</f>
        <v>2022021716</v>
      </c>
      <c r="F53" s="10" t="s">
        <v>125</v>
      </c>
      <c r="G53" s="10" t="s">
        <v>81</v>
      </c>
      <c r="H53" s="9">
        <v>30</v>
      </c>
      <c r="I53" s="9">
        <f t="shared" si="6"/>
        <v>137.80000000000001</v>
      </c>
      <c r="J53" s="9">
        <f t="shared" si="7"/>
        <v>68.900000000000006</v>
      </c>
      <c r="K53" s="8">
        <v>82.34</v>
      </c>
      <c r="L53" s="11">
        <f t="shared" si="8"/>
        <v>75.62</v>
      </c>
      <c r="M53" s="8">
        <v>1</v>
      </c>
    </row>
    <row r="54" spans="1:13">
      <c r="A54" s="7">
        <v>52</v>
      </c>
      <c r="B54" s="9" t="str">
        <f t="shared" si="9"/>
        <v>104</v>
      </c>
      <c r="C54" s="9" t="s">
        <v>124</v>
      </c>
      <c r="D54" s="9" t="str">
        <f>"陆莹莹"</f>
        <v>陆莹莹</v>
      </c>
      <c r="E54" s="9" t="str">
        <f>"2022023202"</f>
        <v>2022023202</v>
      </c>
      <c r="F54" s="10" t="s">
        <v>126</v>
      </c>
      <c r="G54" s="10" t="s">
        <v>127</v>
      </c>
      <c r="H54" s="9">
        <v>30</v>
      </c>
      <c r="I54" s="9">
        <f t="shared" si="6"/>
        <v>145</v>
      </c>
      <c r="J54" s="9">
        <f t="shared" si="7"/>
        <v>72.5</v>
      </c>
      <c r="K54" s="8">
        <v>75.36</v>
      </c>
      <c r="L54" s="11">
        <f t="shared" si="8"/>
        <v>73.930000000000007</v>
      </c>
      <c r="M54" s="8">
        <v>2</v>
      </c>
    </row>
    <row r="55" spans="1:13">
      <c r="A55" s="7">
        <v>53</v>
      </c>
      <c r="B55" s="9" t="str">
        <f t="shared" si="9"/>
        <v>104</v>
      </c>
      <c r="C55" s="9" t="s">
        <v>124</v>
      </c>
      <c r="D55" s="9" t="str">
        <f>"怀自强"</f>
        <v>怀自强</v>
      </c>
      <c r="E55" s="9" t="str">
        <f>"2022023112"</f>
        <v>2022023112</v>
      </c>
      <c r="F55" s="10" t="s">
        <v>62</v>
      </c>
      <c r="G55" s="10" t="s">
        <v>81</v>
      </c>
      <c r="H55" s="9">
        <v>29</v>
      </c>
      <c r="I55" s="9">
        <f t="shared" si="6"/>
        <v>133.6</v>
      </c>
      <c r="J55" s="9">
        <f t="shared" si="7"/>
        <v>66.8</v>
      </c>
      <c r="K55" s="8">
        <v>80.08</v>
      </c>
      <c r="L55" s="11">
        <f t="shared" si="8"/>
        <v>73.44</v>
      </c>
      <c r="M55" s="8">
        <v>3</v>
      </c>
    </row>
    <row r="56" spans="1:13">
      <c r="A56" s="7">
        <v>54</v>
      </c>
      <c r="B56" s="9" t="str">
        <f t="shared" si="9"/>
        <v>104</v>
      </c>
      <c r="C56" s="9" t="s">
        <v>124</v>
      </c>
      <c r="D56" s="9" t="str">
        <f>"李琼"</f>
        <v>李琼</v>
      </c>
      <c r="E56" s="9" t="str">
        <f>"2022020116"</f>
        <v>2022020116</v>
      </c>
      <c r="F56" s="10" t="s">
        <v>128</v>
      </c>
      <c r="G56" s="10" t="s">
        <v>56</v>
      </c>
      <c r="H56" s="9">
        <v>30</v>
      </c>
      <c r="I56" s="9">
        <f t="shared" si="6"/>
        <v>130.5</v>
      </c>
      <c r="J56" s="9">
        <f t="shared" si="7"/>
        <v>65.25</v>
      </c>
      <c r="K56" s="8">
        <v>80.98</v>
      </c>
      <c r="L56" s="11">
        <f t="shared" si="8"/>
        <v>73.115000000000009</v>
      </c>
      <c r="M56" s="8">
        <v>4</v>
      </c>
    </row>
    <row r="57" spans="1:13">
      <c r="A57" s="7">
        <v>55</v>
      </c>
      <c r="B57" s="9" t="str">
        <f t="shared" si="9"/>
        <v>104</v>
      </c>
      <c r="C57" s="9" t="s">
        <v>124</v>
      </c>
      <c r="D57" s="9" t="str">
        <f>"周洁"</f>
        <v>周洁</v>
      </c>
      <c r="E57" s="9" t="str">
        <f>"2022022703"</f>
        <v>2022022703</v>
      </c>
      <c r="F57" s="10" t="s">
        <v>54</v>
      </c>
      <c r="G57" s="10" t="s">
        <v>75</v>
      </c>
      <c r="H57" s="9">
        <v>30</v>
      </c>
      <c r="I57" s="9">
        <f t="shared" si="6"/>
        <v>127.9</v>
      </c>
      <c r="J57" s="9">
        <f t="shared" si="7"/>
        <v>63.95</v>
      </c>
      <c r="K57" s="8">
        <v>81.099999999999994</v>
      </c>
      <c r="L57" s="11">
        <f t="shared" si="8"/>
        <v>72.525000000000006</v>
      </c>
      <c r="M57" s="8">
        <v>5</v>
      </c>
    </row>
    <row r="58" spans="1:13">
      <c r="A58" s="7">
        <v>56</v>
      </c>
      <c r="B58" s="9" t="str">
        <f t="shared" si="9"/>
        <v>104</v>
      </c>
      <c r="C58" s="9" t="s">
        <v>124</v>
      </c>
      <c r="D58" s="9" t="str">
        <f>"薛如男"</f>
        <v>薛如男</v>
      </c>
      <c r="E58" s="9" t="str">
        <f>"2022020805"</f>
        <v>2022020805</v>
      </c>
      <c r="F58" s="10" t="s">
        <v>60</v>
      </c>
      <c r="G58" s="10" t="s">
        <v>70</v>
      </c>
      <c r="H58" s="9">
        <v>28</v>
      </c>
      <c r="I58" s="9">
        <f t="shared" si="6"/>
        <v>129.30000000000001</v>
      </c>
      <c r="J58" s="9">
        <f t="shared" si="7"/>
        <v>64.650000000000006</v>
      </c>
      <c r="K58" s="8">
        <v>79.84</v>
      </c>
      <c r="L58" s="11">
        <f t="shared" si="8"/>
        <v>72.245000000000005</v>
      </c>
      <c r="M58" s="8">
        <v>6</v>
      </c>
    </row>
    <row r="59" spans="1:13">
      <c r="A59" s="7">
        <v>57</v>
      </c>
      <c r="B59" s="9" t="str">
        <f t="shared" si="9"/>
        <v>104</v>
      </c>
      <c r="C59" s="9" t="s">
        <v>124</v>
      </c>
      <c r="D59" s="9" t="str">
        <f>"任明俐"</f>
        <v>任明俐</v>
      </c>
      <c r="E59" s="9" t="str">
        <f>"2022022308"</f>
        <v>2022022308</v>
      </c>
      <c r="F59" s="10" t="s">
        <v>129</v>
      </c>
      <c r="G59" s="10" t="s">
        <v>116</v>
      </c>
      <c r="H59" s="9">
        <v>28</v>
      </c>
      <c r="I59" s="9">
        <f t="shared" si="6"/>
        <v>126.6</v>
      </c>
      <c r="J59" s="9">
        <f t="shared" si="7"/>
        <v>63.3</v>
      </c>
      <c r="K59" s="8">
        <v>80.78</v>
      </c>
      <c r="L59" s="11">
        <f t="shared" si="8"/>
        <v>72.039999999999992</v>
      </c>
      <c r="M59" s="8">
        <v>7</v>
      </c>
    </row>
    <row r="60" spans="1:13">
      <c r="A60" s="7">
        <v>58</v>
      </c>
      <c r="B60" s="9" t="str">
        <f t="shared" si="9"/>
        <v>104</v>
      </c>
      <c r="C60" s="9" t="s">
        <v>124</v>
      </c>
      <c r="D60" s="9" t="str">
        <f>"管婧君"</f>
        <v>管婧君</v>
      </c>
      <c r="E60" s="9" t="str">
        <f>"2022023301"</f>
        <v>2022023301</v>
      </c>
      <c r="F60" s="10" t="s">
        <v>130</v>
      </c>
      <c r="G60" s="10" t="s">
        <v>43</v>
      </c>
      <c r="H60" s="9">
        <v>29</v>
      </c>
      <c r="I60" s="9">
        <f t="shared" si="6"/>
        <v>120.30000000000001</v>
      </c>
      <c r="J60" s="9">
        <f t="shared" si="7"/>
        <v>60.150000000000006</v>
      </c>
      <c r="K60" s="8">
        <v>83.66</v>
      </c>
      <c r="L60" s="11">
        <f t="shared" si="8"/>
        <v>71.905000000000001</v>
      </c>
      <c r="M60" s="8">
        <v>8</v>
      </c>
    </row>
    <row r="61" spans="1:13">
      <c r="A61" s="7">
        <v>59</v>
      </c>
      <c r="B61" s="9" t="str">
        <f t="shared" si="9"/>
        <v>104</v>
      </c>
      <c r="C61" s="9" t="s">
        <v>124</v>
      </c>
      <c r="D61" s="9" t="str">
        <f>"曹晨晨"</f>
        <v>曹晨晨</v>
      </c>
      <c r="E61" s="9" t="str">
        <f>"2022021106"</f>
        <v>2022021106</v>
      </c>
      <c r="F61" s="10" t="s">
        <v>93</v>
      </c>
      <c r="G61" s="10" t="s">
        <v>87</v>
      </c>
      <c r="H61" s="9">
        <v>30</v>
      </c>
      <c r="I61" s="9">
        <f t="shared" si="6"/>
        <v>124.2</v>
      </c>
      <c r="J61" s="9">
        <f t="shared" si="7"/>
        <v>62.1</v>
      </c>
      <c r="K61" s="8">
        <v>81.459999999999994</v>
      </c>
      <c r="L61" s="11">
        <f t="shared" si="8"/>
        <v>71.78</v>
      </c>
      <c r="M61" s="8">
        <v>9</v>
      </c>
    </row>
    <row r="62" spans="1:13">
      <c r="A62" s="7">
        <v>60</v>
      </c>
      <c r="B62" s="9" t="str">
        <f t="shared" si="9"/>
        <v>104</v>
      </c>
      <c r="C62" s="9" t="s">
        <v>124</v>
      </c>
      <c r="D62" s="9" t="str">
        <f>"李玉争"</f>
        <v>李玉争</v>
      </c>
      <c r="E62" s="9" t="str">
        <f>"2022023322"</f>
        <v>2022023322</v>
      </c>
      <c r="F62" s="10" t="s">
        <v>30</v>
      </c>
      <c r="G62" s="10" t="s">
        <v>131</v>
      </c>
      <c r="H62" s="9">
        <v>28</v>
      </c>
      <c r="I62" s="9">
        <f t="shared" si="6"/>
        <v>122.5</v>
      </c>
      <c r="J62" s="9">
        <f t="shared" si="7"/>
        <v>61.25</v>
      </c>
      <c r="K62" s="8">
        <v>81.459999999999994</v>
      </c>
      <c r="L62" s="11">
        <f t="shared" si="8"/>
        <v>71.35499999999999</v>
      </c>
      <c r="M62" s="8">
        <v>10</v>
      </c>
    </row>
    <row r="63" spans="1:13">
      <c r="A63" s="7">
        <v>61</v>
      </c>
      <c r="B63" s="9" t="str">
        <f t="shared" si="9"/>
        <v>104</v>
      </c>
      <c r="C63" s="9" t="s">
        <v>124</v>
      </c>
      <c r="D63" s="9" t="str">
        <f>"陈蒙蒙"</f>
        <v>陈蒙蒙</v>
      </c>
      <c r="E63" s="9" t="str">
        <f>"2022022913"</f>
        <v>2022022913</v>
      </c>
      <c r="F63" s="10" t="s">
        <v>54</v>
      </c>
      <c r="G63" s="10" t="s">
        <v>127</v>
      </c>
      <c r="H63" s="9">
        <v>29</v>
      </c>
      <c r="I63" s="9">
        <f t="shared" si="6"/>
        <v>128.5</v>
      </c>
      <c r="J63" s="9">
        <f t="shared" si="7"/>
        <v>64.25</v>
      </c>
      <c r="K63" s="8">
        <v>78</v>
      </c>
      <c r="L63" s="11">
        <f t="shared" si="8"/>
        <v>71.125</v>
      </c>
      <c r="M63" s="8">
        <v>11</v>
      </c>
    </row>
    <row r="64" spans="1:13">
      <c r="A64" s="7">
        <v>62</v>
      </c>
      <c r="B64" s="9" t="str">
        <f t="shared" si="9"/>
        <v>104</v>
      </c>
      <c r="C64" s="9" t="s">
        <v>124</v>
      </c>
      <c r="D64" s="9" t="str">
        <f>"任春苗"</f>
        <v>任春苗</v>
      </c>
      <c r="E64" s="9" t="str">
        <f>"2022024117"</f>
        <v>2022024117</v>
      </c>
      <c r="F64" s="10" t="s">
        <v>132</v>
      </c>
      <c r="G64" s="10" t="s">
        <v>133</v>
      </c>
      <c r="H64" s="9">
        <v>27</v>
      </c>
      <c r="I64" s="9">
        <f t="shared" si="6"/>
        <v>132.6</v>
      </c>
      <c r="J64" s="9">
        <f t="shared" si="7"/>
        <v>66.3</v>
      </c>
      <c r="K64" s="8">
        <v>75.56</v>
      </c>
      <c r="L64" s="11">
        <f t="shared" si="8"/>
        <v>70.930000000000007</v>
      </c>
      <c r="M64" s="8">
        <v>12</v>
      </c>
    </row>
    <row r="65" spans="1:13">
      <c r="A65" s="7">
        <v>63</v>
      </c>
      <c r="B65" s="9" t="str">
        <f t="shared" si="9"/>
        <v>104</v>
      </c>
      <c r="C65" s="9" t="s">
        <v>124</v>
      </c>
      <c r="D65" s="9" t="str">
        <f>"钱梦君"</f>
        <v>钱梦君</v>
      </c>
      <c r="E65" s="9" t="str">
        <f>"2022022608"</f>
        <v>2022022608</v>
      </c>
      <c r="F65" s="10" t="s">
        <v>36</v>
      </c>
      <c r="G65" s="10" t="s">
        <v>131</v>
      </c>
      <c r="H65" s="9">
        <v>30</v>
      </c>
      <c r="I65" s="9">
        <f t="shared" si="6"/>
        <v>126.1</v>
      </c>
      <c r="J65" s="9">
        <f t="shared" si="7"/>
        <v>63.05</v>
      </c>
      <c r="K65" s="8">
        <v>78.06</v>
      </c>
      <c r="L65" s="11">
        <f t="shared" si="8"/>
        <v>70.555000000000007</v>
      </c>
      <c r="M65" s="8">
        <v>13</v>
      </c>
    </row>
    <row r="66" spans="1:13">
      <c r="A66" s="7">
        <v>64</v>
      </c>
      <c r="B66" s="9" t="str">
        <f t="shared" si="9"/>
        <v>104</v>
      </c>
      <c r="C66" s="9" t="s">
        <v>124</v>
      </c>
      <c r="D66" s="9" t="str">
        <f>"崔灿"</f>
        <v>崔灿</v>
      </c>
      <c r="E66" s="9" t="str">
        <f>"2022020829"</f>
        <v>2022020829</v>
      </c>
      <c r="F66" s="10" t="s">
        <v>134</v>
      </c>
      <c r="G66" s="10" t="s">
        <v>48</v>
      </c>
      <c r="H66" s="9">
        <v>30</v>
      </c>
      <c r="I66" s="9">
        <f t="shared" si="6"/>
        <v>122.4</v>
      </c>
      <c r="J66" s="9">
        <f t="shared" si="7"/>
        <v>61.2</v>
      </c>
      <c r="K66" s="8">
        <v>79.52</v>
      </c>
      <c r="L66" s="11">
        <f t="shared" si="8"/>
        <v>70.36</v>
      </c>
      <c r="M66" s="8">
        <v>14</v>
      </c>
    </row>
    <row r="67" spans="1:13">
      <c r="A67" s="7">
        <v>65</v>
      </c>
      <c r="B67" s="9" t="str">
        <f t="shared" si="9"/>
        <v>104</v>
      </c>
      <c r="C67" s="9" t="s">
        <v>124</v>
      </c>
      <c r="D67" s="9" t="str">
        <f>"陶言言"</f>
        <v>陶言言</v>
      </c>
      <c r="E67" s="9" t="str">
        <f>"2022024111"</f>
        <v>2022024111</v>
      </c>
      <c r="F67" s="10" t="s">
        <v>135</v>
      </c>
      <c r="G67" s="10" t="s">
        <v>136</v>
      </c>
      <c r="H67" s="9">
        <v>30</v>
      </c>
      <c r="I67" s="9">
        <f t="shared" ref="I67:I98" si="10">F67+G67+H67</f>
        <v>120.19999999999999</v>
      </c>
      <c r="J67" s="9">
        <f t="shared" ref="J67:J98" si="11">I67/2</f>
        <v>60.099999999999994</v>
      </c>
      <c r="K67" s="8">
        <v>80.52</v>
      </c>
      <c r="L67" s="11">
        <f t="shared" ref="L67:L98" si="12">J67/2+K67/2</f>
        <v>70.31</v>
      </c>
      <c r="M67" s="8">
        <v>15</v>
      </c>
    </row>
    <row r="68" spans="1:13">
      <c r="A68" s="7">
        <v>66</v>
      </c>
      <c r="B68" s="9" t="str">
        <f t="shared" si="9"/>
        <v>104</v>
      </c>
      <c r="C68" s="9" t="s">
        <v>124</v>
      </c>
      <c r="D68" s="9" t="str">
        <f>"任明莉"</f>
        <v>任明莉</v>
      </c>
      <c r="E68" s="9" t="str">
        <f>"2022024201"</f>
        <v>2022024201</v>
      </c>
      <c r="F68" s="10" t="s">
        <v>137</v>
      </c>
      <c r="G68" s="10" t="s">
        <v>75</v>
      </c>
      <c r="H68" s="9">
        <v>29</v>
      </c>
      <c r="I68" s="9">
        <f t="shared" si="10"/>
        <v>123.69999999999999</v>
      </c>
      <c r="J68" s="9">
        <f t="shared" si="11"/>
        <v>61.849999999999994</v>
      </c>
      <c r="K68" s="8">
        <v>78.400000000000006</v>
      </c>
      <c r="L68" s="11">
        <f t="shared" si="12"/>
        <v>70.125</v>
      </c>
      <c r="M68" s="8">
        <v>16</v>
      </c>
    </row>
    <row r="69" spans="1:13">
      <c r="A69" s="7">
        <v>67</v>
      </c>
      <c r="B69" s="9" t="str">
        <f t="shared" si="9"/>
        <v>104</v>
      </c>
      <c r="C69" s="9" t="s">
        <v>124</v>
      </c>
      <c r="D69" s="9" t="str">
        <f>"王杨杨"</f>
        <v>王杨杨</v>
      </c>
      <c r="E69" s="9" t="str">
        <f>"2022022429"</f>
        <v>2022022429</v>
      </c>
      <c r="F69" s="10" t="s">
        <v>122</v>
      </c>
      <c r="G69" s="10" t="s">
        <v>115</v>
      </c>
      <c r="H69" s="9">
        <v>30</v>
      </c>
      <c r="I69" s="9">
        <f t="shared" si="10"/>
        <v>123.3</v>
      </c>
      <c r="J69" s="9">
        <f t="shared" si="11"/>
        <v>61.65</v>
      </c>
      <c r="K69" s="8">
        <v>78.08</v>
      </c>
      <c r="L69" s="11">
        <f t="shared" si="12"/>
        <v>69.864999999999995</v>
      </c>
      <c r="M69" s="8">
        <v>17</v>
      </c>
    </row>
    <row r="70" spans="1:13">
      <c r="A70" s="7">
        <v>68</v>
      </c>
      <c r="B70" s="9" t="str">
        <f t="shared" si="9"/>
        <v>104</v>
      </c>
      <c r="C70" s="9" t="s">
        <v>124</v>
      </c>
      <c r="D70" s="9" t="str">
        <f>"吴明珠"</f>
        <v>吴明珠</v>
      </c>
      <c r="E70" s="9" t="str">
        <f>"2022020324"</f>
        <v>2022020324</v>
      </c>
      <c r="F70" s="10" t="s">
        <v>138</v>
      </c>
      <c r="G70" s="10" t="s">
        <v>56</v>
      </c>
      <c r="H70" s="9">
        <v>30</v>
      </c>
      <c r="I70" s="9">
        <f t="shared" si="10"/>
        <v>125.1</v>
      </c>
      <c r="J70" s="9">
        <f t="shared" si="11"/>
        <v>62.55</v>
      </c>
      <c r="K70" s="8">
        <v>77.12</v>
      </c>
      <c r="L70" s="11">
        <f t="shared" si="12"/>
        <v>69.835000000000008</v>
      </c>
      <c r="M70" s="8">
        <v>18</v>
      </c>
    </row>
    <row r="71" spans="1:13">
      <c r="A71" s="7">
        <v>69</v>
      </c>
      <c r="B71" s="9" t="str">
        <f t="shared" si="9"/>
        <v>104</v>
      </c>
      <c r="C71" s="9" t="s">
        <v>124</v>
      </c>
      <c r="D71" s="9" t="str">
        <f>"左青荣"</f>
        <v>左青荣</v>
      </c>
      <c r="E71" s="9" t="str">
        <f>"2022020413"</f>
        <v>2022020413</v>
      </c>
      <c r="F71" s="10" t="s">
        <v>139</v>
      </c>
      <c r="G71" s="10" t="s">
        <v>140</v>
      </c>
      <c r="H71" s="9">
        <v>30</v>
      </c>
      <c r="I71" s="9">
        <f t="shared" si="10"/>
        <v>122.5</v>
      </c>
      <c r="J71" s="9">
        <f t="shared" si="11"/>
        <v>61.25</v>
      </c>
      <c r="K71" s="8">
        <v>77.84</v>
      </c>
      <c r="L71" s="11">
        <f t="shared" si="12"/>
        <v>69.545000000000002</v>
      </c>
      <c r="M71" s="8">
        <v>19</v>
      </c>
    </row>
    <row r="72" spans="1:13">
      <c r="A72" s="7">
        <v>70</v>
      </c>
      <c r="B72" s="9" t="str">
        <f t="shared" si="9"/>
        <v>104</v>
      </c>
      <c r="C72" s="9" t="s">
        <v>124</v>
      </c>
      <c r="D72" s="9" t="str">
        <f>"王丹一"</f>
        <v>王丹一</v>
      </c>
      <c r="E72" s="9" t="str">
        <f>"2022023124"</f>
        <v>2022023124</v>
      </c>
      <c r="F72" s="10" t="s">
        <v>141</v>
      </c>
      <c r="G72" s="10" t="s">
        <v>90</v>
      </c>
      <c r="H72" s="9">
        <v>30</v>
      </c>
      <c r="I72" s="9">
        <f t="shared" si="10"/>
        <v>121.2</v>
      </c>
      <c r="J72" s="9">
        <f t="shared" si="11"/>
        <v>60.6</v>
      </c>
      <c r="K72" s="8">
        <v>75.900000000000006</v>
      </c>
      <c r="L72" s="11">
        <f t="shared" si="12"/>
        <v>68.25</v>
      </c>
      <c r="M72" s="8">
        <v>20</v>
      </c>
    </row>
    <row r="73" spans="1:13">
      <c r="A73" s="7">
        <v>71</v>
      </c>
      <c r="B73" s="9" t="str">
        <f t="shared" ref="B73:B92" si="13">"105"</f>
        <v>105</v>
      </c>
      <c r="C73" s="9" t="s">
        <v>143</v>
      </c>
      <c r="D73" s="9" t="str">
        <f>"高芷珺"</f>
        <v>高芷珺</v>
      </c>
      <c r="E73" s="9" t="str">
        <f>"2022020121"</f>
        <v>2022020121</v>
      </c>
      <c r="F73" s="10" t="s">
        <v>144</v>
      </c>
      <c r="G73" s="10" t="s">
        <v>145</v>
      </c>
      <c r="H73" s="9">
        <v>30</v>
      </c>
      <c r="I73" s="9">
        <f t="shared" si="10"/>
        <v>142.69999999999999</v>
      </c>
      <c r="J73" s="9">
        <f t="shared" si="11"/>
        <v>71.349999999999994</v>
      </c>
      <c r="K73" s="8">
        <v>78.78</v>
      </c>
      <c r="L73" s="11">
        <f t="shared" si="12"/>
        <v>75.064999999999998</v>
      </c>
      <c r="M73" s="8">
        <v>1</v>
      </c>
    </row>
    <row r="74" spans="1:13">
      <c r="A74" s="7">
        <v>72</v>
      </c>
      <c r="B74" s="9" t="str">
        <f t="shared" si="13"/>
        <v>105</v>
      </c>
      <c r="C74" s="9" t="s">
        <v>143</v>
      </c>
      <c r="D74" s="9" t="str">
        <f>"陈楠"</f>
        <v>陈楠</v>
      </c>
      <c r="E74" s="9" t="str">
        <f>"2022020511"</f>
        <v>2022020511</v>
      </c>
      <c r="F74" s="10" t="s">
        <v>146</v>
      </c>
      <c r="G74" s="10" t="s">
        <v>27</v>
      </c>
      <c r="H74" s="9">
        <v>30</v>
      </c>
      <c r="I74" s="9">
        <f t="shared" si="10"/>
        <v>139.6</v>
      </c>
      <c r="J74" s="9">
        <f t="shared" si="11"/>
        <v>69.8</v>
      </c>
      <c r="K74" s="8">
        <v>79.92</v>
      </c>
      <c r="L74" s="11">
        <f t="shared" si="12"/>
        <v>74.86</v>
      </c>
      <c r="M74" s="8">
        <v>2</v>
      </c>
    </row>
    <row r="75" spans="1:13">
      <c r="A75" s="7">
        <v>73</v>
      </c>
      <c r="B75" s="9" t="str">
        <f t="shared" si="13"/>
        <v>105</v>
      </c>
      <c r="C75" s="9" t="s">
        <v>143</v>
      </c>
      <c r="D75" s="9" t="str">
        <f>"孟令超"</f>
        <v>孟令超</v>
      </c>
      <c r="E75" s="9" t="str">
        <f>"2022024311"</f>
        <v>2022024311</v>
      </c>
      <c r="F75" s="10" t="s">
        <v>147</v>
      </c>
      <c r="G75" s="10" t="s">
        <v>119</v>
      </c>
      <c r="H75" s="9">
        <v>30</v>
      </c>
      <c r="I75" s="9">
        <f t="shared" si="10"/>
        <v>145.69999999999999</v>
      </c>
      <c r="J75" s="9">
        <f t="shared" si="11"/>
        <v>72.849999999999994</v>
      </c>
      <c r="K75" s="8">
        <v>75.5</v>
      </c>
      <c r="L75" s="11">
        <f t="shared" si="12"/>
        <v>74.174999999999997</v>
      </c>
      <c r="M75" s="8">
        <v>3</v>
      </c>
    </row>
    <row r="76" spans="1:13">
      <c r="A76" s="7">
        <v>74</v>
      </c>
      <c r="B76" s="9" t="str">
        <f t="shared" si="13"/>
        <v>105</v>
      </c>
      <c r="C76" s="9" t="s">
        <v>143</v>
      </c>
      <c r="D76" s="9" t="str">
        <f>"陈莹"</f>
        <v>陈莹</v>
      </c>
      <c r="E76" s="9" t="str">
        <f>"2022020908"</f>
        <v>2022020908</v>
      </c>
      <c r="F76" s="10" t="s">
        <v>148</v>
      </c>
      <c r="G76" s="10" t="s">
        <v>33</v>
      </c>
      <c r="H76" s="9">
        <v>29</v>
      </c>
      <c r="I76" s="9">
        <f t="shared" si="10"/>
        <v>144.1</v>
      </c>
      <c r="J76" s="9">
        <f t="shared" si="11"/>
        <v>72.05</v>
      </c>
      <c r="K76" s="8">
        <v>76.12</v>
      </c>
      <c r="L76" s="11">
        <f t="shared" si="12"/>
        <v>74.085000000000008</v>
      </c>
      <c r="M76" s="8">
        <v>4</v>
      </c>
    </row>
    <row r="77" spans="1:13">
      <c r="A77" s="7">
        <v>75</v>
      </c>
      <c r="B77" s="9" t="str">
        <f t="shared" si="13"/>
        <v>105</v>
      </c>
      <c r="C77" s="9" t="s">
        <v>143</v>
      </c>
      <c r="D77" s="9" t="str">
        <f>"许文静"</f>
        <v>许文静</v>
      </c>
      <c r="E77" s="9" t="str">
        <f>"2022020729"</f>
        <v>2022020729</v>
      </c>
      <c r="F77" s="10" t="s">
        <v>149</v>
      </c>
      <c r="G77" s="10" t="s">
        <v>33</v>
      </c>
      <c r="H77" s="9">
        <v>30</v>
      </c>
      <c r="I77" s="9">
        <f t="shared" si="10"/>
        <v>136</v>
      </c>
      <c r="J77" s="9">
        <f t="shared" si="11"/>
        <v>68</v>
      </c>
      <c r="K77" s="8">
        <v>80.08</v>
      </c>
      <c r="L77" s="11">
        <f t="shared" si="12"/>
        <v>74.039999999999992</v>
      </c>
      <c r="M77" s="8">
        <v>5</v>
      </c>
    </row>
    <row r="78" spans="1:13">
      <c r="A78" s="7">
        <v>76</v>
      </c>
      <c r="B78" s="9" t="str">
        <f t="shared" si="13"/>
        <v>105</v>
      </c>
      <c r="C78" s="9" t="s">
        <v>143</v>
      </c>
      <c r="D78" s="9" t="str">
        <f>"肖庆庆"</f>
        <v>肖庆庆</v>
      </c>
      <c r="E78" s="9" t="str">
        <f>"2022023707"</f>
        <v>2022023707</v>
      </c>
      <c r="F78" s="10" t="s">
        <v>73</v>
      </c>
      <c r="G78" s="10" t="s">
        <v>150</v>
      </c>
      <c r="H78" s="9">
        <v>29</v>
      </c>
      <c r="I78" s="9">
        <f t="shared" si="10"/>
        <v>139.69999999999999</v>
      </c>
      <c r="J78" s="9">
        <f t="shared" si="11"/>
        <v>69.849999999999994</v>
      </c>
      <c r="K78" s="8">
        <v>78.02</v>
      </c>
      <c r="L78" s="11">
        <f t="shared" si="12"/>
        <v>73.935000000000002</v>
      </c>
      <c r="M78" s="8">
        <v>6</v>
      </c>
    </row>
    <row r="79" spans="1:13">
      <c r="A79" s="7">
        <v>77</v>
      </c>
      <c r="B79" s="9" t="str">
        <f t="shared" si="13"/>
        <v>105</v>
      </c>
      <c r="C79" s="9" t="s">
        <v>143</v>
      </c>
      <c r="D79" s="9" t="str">
        <f>"董献伟"</f>
        <v>董献伟</v>
      </c>
      <c r="E79" s="9" t="str">
        <f>"2022023627"</f>
        <v>2022023627</v>
      </c>
      <c r="F79" s="10" t="s">
        <v>151</v>
      </c>
      <c r="G79" s="10" t="s">
        <v>48</v>
      </c>
      <c r="H79" s="9">
        <v>28</v>
      </c>
      <c r="I79" s="9">
        <f t="shared" si="10"/>
        <v>146.80000000000001</v>
      </c>
      <c r="J79" s="9">
        <f t="shared" si="11"/>
        <v>73.400000000000006</v>
      </c>
      <c r="K79" s="8">
        <v>74.42</v>
      </c>
      <c r="L79" s="11">
        <f t="shared" si="12"/>
        <v>73.91</v>
      </c>
      <c r="M79" s="8">
        <v>7</v>
      </c>
    </row>
    <row r="80" spans="1:13">
      <c r="A80" s="7">
        <v>78</v>
      </c>
      <c r="B80" s="9" t="str">
        <f t="shared" si="13"/>
        <v>105</v>
      </c>
      <c r="C80" s="9" t="s">
        <v>143</v>
      </c>
      <c r="D80" s="9" t="str">
        <f>"李真"</f>
        <v>李真</v>
      </c>
      <c r="E80" s="9" t="str">
        <f>"2022020821"</f>
        <v>2022020821</v>
      </c>
      <c r="F80" s="10" t="s">
        <v>125</v>
      </c>
      <c r="G80" s="10" t="s">
        <v>43</v>
      </c>
      <c r="H80" s="9">
        <v>30</v>
      </c>
      <c r="I80" s="9">
        <f t="shared" si="10"/>
        <v>137.69999999999999</v>
      </c>
      <c r="J80" s="9">
        <f t="shared" si="11"/>
        <v>68.849999999999994</v>
      </c>
      <c r="K80" s="8">
        <v>78.94</v>
      </c>
      <c r="L80" s="11">
        <f t="shared" si="12"/>
        <v>73.894999999999996</v>
      </c>
      <c r="M80" s="8">
        <v>8</v>
      </c>
    </row>
    <row r="81" spans="1:13">
      <c r="A81" s="7">
        <v>79</v>
      </c>
      <c r="B81" s="9" t="str">
        <f t="shared" si="13"/>
        <v>105</v>
      </c>
      <c r="C81" s="9" t="s">
        <v>143</v>
      </c>
      <c r="D81" s="9" t="str">
        <f>"刘思蒙"</f>
        <v>刘思蒙</v>
      </c>
      <c r="E81" s="9" t="str">
        <f>"2022024025"</f>
        <v>2022024025</v>
      </c>
      <c r="F81" s="10" t="s">
        <v>128</v>
      </c>
      <c r="G81" s="10" t="s">
        <v>152</v>
      </c>
      <c r="H81" s="9">
        <v>30</v>
      </c>
      <c r="I81" s="9">
        <f t="shared" si="10"/>
        <v>136.1</v>
      </c>
      <c r="J81" s="9">
        <f t="shared" si="11"/>
        <v>68.05</v>
      </c>
      <c r="K81" s="8">
        <v>79.58</v>
      </c>
      <c r="L81" s="11">
        <f t="shared" si="12"/>
        <v>73.814999999999998</v>
      </c>
      <c r="M81" s="8">
        <v>9</v>
      </c>
    </row>
    <row r="82" spans="1:13">
      <c r="A82" s="7">
        <v>80</v>
      </c>
      <c r="B82" s="9" t="str">
        <f t="shared" si="13"/>
        <v>105</v>
      </c>
      <c r="C82" s="9" t="s">
        <v>143</v>
      </c>
      <c r="D82" s="9" t="str">
        <f>"郭梓怡"</f>
        <v>郭梓怡</v>
      </c>
      <c r="E82" s="9" t="str">
        <f>"2022023630"</f>
        <v>2022023630</v>
      </c>
      <c r="F82" s="10" t="s">
        <v>153</v>
      </c>
      <c r="G82" s="10" t="s">
        <v>48</v>
      </c>
      <c r="H82" s="9">
        <v>28</v>
      </c>
      <c r="I82" s="9">
        <f t="shared" si="10"/>
        <v>142</v>
      </c>
      <c r="J82" s="9">
        <f t="shared" si="11"/>
        <v>71</v>
      </c>
      <c r="K82" s="8">
        <v>76.56</v>
      </c>
      <c r="L82" s="11">
        <f t="shared" si="12"/>
        <v>73.78</v>
      </c>
      <c r="M82" s="8">
        <v>10</v>
      </c>
    </row>
    <row r="83" spans="1:13">
      <c r="A83" s="7">
        <v>81</v>
      </c>
      <c r="B83" s="9" t="str">
        <f t="shared" si="13"/>
        <v>105</v>
      </c>
      <c r="C83" s="9" t="s">
        <v>143</v>
      </c>
      <c r="D83" s="9" t="str">
        <f>"陈路"</f>
        <v>陈路</v>
      </c>
      <c r="E83" s="9" t="str">
        <f>"2022023725"</f>
        <v>2022023725</v>
      </c>
      <c r="F83" s="10" t="s">
        <v>154</v>
      </c>
      <c r="G83" s="10" t="s">
        <v>152</v>
      </c>
      <c r="H83" s="9">
        <v>28</v>
      </c>
      <c r="I83" s="9">
        <f t="shared" si="10"/>
        <v>133.4</v>
      </c>
      <c r="J83" s="9">
        <f t="shared" si="11"/>
        <v>66.7</v>
      </c>
      <c r="K83" s="8">
        <v>80.180000000000007</v>
      </c>
      <c r="L83" s="11">
        <f t="shared" si="12"/>
        <v>73.44</v>
      </c>
      <c r="M83" s="8">
        <v>11</v>
      </c>
    </row>
    <row r="84" spans="1:13">
      <c r="A84" s="7">
        <v>82</v>
      </c>
      <c r="B84" s="9" t="str">
        <f t="shared" si="13"/>
        <v>105</v>
      </c>
      <c r="C84" s="9" t="s">
        <v>143</v>
      </c>
      <c r="D84" s="9" t="str">
        <f>"陈闪闪"</f>
        <v>陈闪闪</v>
      </c>
      <c r="E84" s="9" t="str">
        <f>"2022021828"</f>
        <v>2022021828</v>
      </c>
      <c r="F84" s="10" t="s">
        <v>55</v>
      </c>
      <c r="G84" s="10" t="s">
        <v>123</v>
      </c>
      <c r="H84" s="9">
        <v>27</v>
      </c>
      <c r="I84" s="9">
        <f t="shared" si="10"/>
        <v>132.30000000000001</v>
      </c>
      <c r="J84" s="9">
        <f t="shared" si="11"/>
        <v>66.150000000000006</v>
      </c>
      <c r="K84" s="8">
        <v>80.7</v>
      </c>
      <c r="L84" s="11">
        <f t="shared" si="12"/>
        <v>73.425000000000011</v>
      </c>
      <c r="M84" s="8">
        <v>12</v>
      </c>
    </row>
    <row r="85" spans="1:13">
      <c r="A85" s="7">
        <v>83</v>
      </c>
      <c r="B85" s="9" t="str">
        <f t="shared" si="13"/>
        <v>105</v>
      </c>
      <c r="C85" s="9" t="s">
        <v>143</v>
      </c>
      <c r="D85" s="9" t="str">
        <f>"王艺"</f>
        <v>王艺</v>
      </c>
      <c r="E85" s="9" t="str">
        <f>"2022020428"</f>
        <v>2022020428</v>
      </c>
      <c r="F85" s="10" t="s">
        <v>155</v>
      </c>
      <c r="G85" s="10" t="s">
        <v>27</v>
      </c>
      <c r="H85" s="9">
        <v>28</v>
      </c>
      <c r="I85" s="9">
        <f t="shared" si="10"/>
        <v>143</v>
      </c>
      <c r="J85" s="9">
        <f t="shared" si="11"/>
        <v>71.5</v>
      </c>
      <c r="K85" s="8">
        <v>75.040000000000006</v>
      </c>
      <c r="L85" s="11">
        <f t="shared" si="12"/>
        <v>73.27000000000001</v>
      </c>
      <c r="M85" s="8">
        <v>13</v>
      </c>
    </row>
    <row r="86" spans="1:13">
      <c r="A86" s="7">
        <v>84</v>
      </c>
      <c r="B86" s="13" t="str">
        <f t="shared" si="13"/>
        <v>105</v>
      </c>
      <c r="C86" s="13" t="s">
        <v>143</v>
      </c>
      <c r="D86" s="13" t="str">
        <f>"朱丽娟"</f>
        <v>朱丽娟</v>
      </c>
      <c r="E86" s="13" t="str">
        <f>"2022023802"</f>
        <v>2022023802</v>
      </c>
      <c r="F86" s="17" t="s">
        <v>100</v>
      </c>
      <c r="G86" s="17" t="s">
        <v>156</v>
      </c>
      <c r="H86" s="13">
        <v>29</v>
      </c>
      <c r="I86" s="13">
        <f t="shared" si="10"/>
        <v>134.1</v>
      </c>
      <c r="J86" s="13">
        <f t="shared" si="11"/>
        <v>67.05</v>
      </c>
      <c r="K86" s="7">
        <v>79.319999999999993</v>
      </c>
      <c r="L86" s="18">
        <f t="shared" si="12"/>
        <v>73.185000000000002</v>
      </c>
      <c r="M86" s="8">
        <v>14</v>
      </c>
    </row>
    <row r="87" spans="1:13">
      <c r="A87" s="7">
        <v>85</v>
      </c>
      <c r="B87" s="13" t="str">
        <f t="shared" si="13"/>
        <v>105</v>
      </c>
      <c r="C87" s="13" t="s">
        <v>143</v>
      </c>
      <c r="D87" s="13" t="str">
        <f>"朱敏"</f>
        <v>朱敏</v>
      </c>
      <c r="E87" s="13" t="str">
        <f>"2022022612"</f>
        <v>2022022612</v>
      </c>
      <c r="F87" s="17" t="s">
        <v>157</v>
      </c>
      <c r="G87" s="17" t="s">
        <v>81</v>
      </c>
      <c r="H87" s="13">
        <v>29</v>
      </c>
      <c r="I87" s="13">
        <f t="shared" si="10"/>
        <v>144.80000000000001</v>
      </c>
      <c r="J87" s="13">
        <f t="shared" si="11"/>
        <v>72.400000000000006</v>
      </c>
      <c r="K87" s="7">
        <v>73.66</v>
      </c>
      <c r="L87" s="18">
        <f t="shared" si="12"/>
        <v>73.03</v>
      </c>
      <c r="M87" s="8">
        <v>15</v>
      </c>
    </row>
    <row r="88" spans="1:13">
      <c r="A88" s="7">
        <v>86</v>
      </c>
      <c r="B88" s="13" t="str">
        <f t="shared" si="13"/>
        <v>105</v>
      </c>
      <c r="C88" s="13" t="s">
        <v>143</v>
      </c>
      <c r="D88" s="13" t="str">
        <f>"吴梦瑶"</f>
        <v>吴梦瑶</v>
      </c>
      <c r="E88" s="13" t="str">
        <f>"2022021911"</f>
        <v>2022021911</v>
      </c>
      <c r="F88" s="17" t="s">
        <v>158</v>
      </c>
      <c r="G88" s="17" t="s">
        <v>159</v>
      </c>
      <c r="H88" s="13">
        <v>27</v>
      </c>
      <c r="I88" s="13">
        <f t="shared" si="10"/>
        <v>131.80000000000001</v>
      </c>
      <c r="J88" s="13">
        <f t="shared" si="11"/>
        <v>65.900000000000006</v>
      </c>
      <c r="K88" s="7">
        <v>79.819999999999993</v>
      </c>
      <c r="L88" s="18">
        <f t="shared" si="12"/>
        <v>72.86</v>
      </c>
      <c r="M88" s="8">
        <v>16</v>
      </c>
    </row>
    <row r="89" spans="1:13">
      <c r="A89" s="7">
        <v>87</v>
      </c>
      <c r="B89" s="13" t="str">
        <f t="shared" si="13"/>
        <v>105</v>
      </c>
      <c r="C89" s="13" t="s">
        <v>143</v>
      </c>
      <c r="D89" s="13" t="str">
        <f>"张冲"</f>
        <v>张冲</v>
      </c>
      <c r="E89" s="13" t="str">
        <f>"2022021719"</f>
        <v>2022021719</v>
      </c>
      <c r="F89" s="17" t="s">
        <v>86</v>
      </c>
      <c r="G89" s="17" t="s">
        <v>37</v>
      </c>
      <c r="H89" s="13">
        <v>28</v>
      </c>
      <c r="I89" s="13">
        <f t="shared" si="10"/>
        <v>130.6</v>
      </c>
      <c r="J89" s="13">
        <f t="shared" si="11"/>
        <v>65.3</v>
      </c>
      <c r="K89" s="7">
        <v>79.98</v>
      </c>
      <c r="L89" s="18">
        <f t="shared" si="12"/>
        <v>72.64</v>
      </c>
      <c r="M89" s="8">
        <v>17</v>
      </c>
    </row>
    <row r="90" spans="1:13">
      <c r="A90" s="7">
        <v>88</v>
      </c>
      <c r="B90" s="13" t="str">
        <f t="shared" si="13"/>
        <v>105</v>
      </c>
      <c r="C90" s="13" t="s">
        <v>143</v>
      </c>
      <c r="D90" s="13" t="str">
        <f>"王娜"</f>
        <v>王娜</v>
      </c>
      <c r="E90" s="13" t="str">
        <f>"2022023416"</f>
        <v>2022023416</v>
      </c>
      <c r="F90" s="17" t="s">
        <v>80</v>
      </c>
      <c r="G90" s="17" t="s">
        <v>160</v>
      </c>
      <c r="H90" s="13">
        <v>29</v>
      </c>
      <c r="I90" s="13">
        <f t="shared" si="10"/>
        <v>129.4</v>
      </c>
      <c r="J90" s="13">
        <f t="shared" si="11"/>
        <v>64.7</v>
      </c>
      <c r="K90" s="7">
        <v>79.760000000000005</v>
      </c>
      <c r="L90" s="18">
        <f t="shared" si="12"/>
        <v>72.23</v>
      </c>
      <c r="M90" s="8">
        <v>18</v>
      </c>
    </row>
    <row r="91" spans="1:13">
      <c r="A91" s="7">
        <v>89</v>
      </c>
      <c r="B91" s="13" t="str">
        <f t="shared" si="13"/>
        <v>105</v>
      </c>
      <c r="C91" s="13" t="s">
        <v>143</v>
      </c>
      <c r="D91" s="13" t="str">
        <f>"张雅坤"</f>
        <v>张雅坤</v>
      </c>
      <c r="E91" s="13" t="str">
        <f>"2022022012"</f>
        <v>2022022012</v>
      </c>
      <c r="F91" s="17" t="s">
        <v>161</v>
      </c>
      <c r="G91" s="17" t="s">
        <v>87</v>
      </c>
      <c r="H91" s="13">
        <v>29</v>
      </c>
      <c r="I91" s="13">
        <f t="shared" si="10"/>
        <v>137.9</v>
      </c>
      <c r="J91" s="13">
        <f t="shared" si="11"/>
        <v>68.95</v>
      </c>
      <c r="K91" s="7">
        <v>75.459999999999994</v>
      </c>
      <c r="L91" s="18">
        <f t="shared" si="12"/>
        <v>72.204999999999998</v>
      </c>
      <c r="M91" s="8">
        <v>19</v>
      </c>
    </row>
    <row r="92" spans="1:13">
      <c r="A92" s="7">
        <v>90</v>
      </c>
      <c r="B92" s="13" t="str">
        <f t="shared" si="13"/>
        <v>105</v>
      </c>
      <c r="C92" s="13" t="s">
        <v>143</v>
      </c>
      <c r="D92" s="13" t="str">
        <f>"张嫣然"</f>
        <v>张嫣然</v>
      </c>
      <c r="E92" s="13" t="str">
        <f>"2022021321"</f>
        <v>2022021321</v>
      </c>
      <c r="F92" s="17" t="s">
        <v>149</v>
      </c>
      <c r="G92" s="17" t="s">
        <v>121</v>
      </c>
      <c r="H92" s="13">
        <v>28</v>
      </c>
      <c r="I92" s="13">
        <f t="shared" si="10"/>
        <v>127.5</v>
      </c>
      <c r="J92" s="13">
        <f t="shared" si="11"/>
        <v>63.75</v>
      </c>
      <c r="K92" s="7">
        <v>80.36</v>
      </c>
      <c r="L92" s="18">
        <f t="shared" si="12"/>
        <v>72.055000000000007</v>
      </c>
      <c r="M92" s="8">
        <v>20</v>
      </c>
    </row>
    <row r="93" spans="1:13">
      <c r="A93" s="7">
        <v>91</v>
      </c>
      <c r="B93" s="13" t="str">
        <f t="shared" ref="B93:B118" si="14">"106"</f>
        <v>106</v>
      </c>
      <c r="C93" s="13" t="s">
        <v>163</v>
      </c>
      <c r="D93" s="13" t="str">
        <f>"陈红"</f>
        <v>陈红</v>
      </c>
      <c r="E93" s="13" t="str">
        <f>"2022023319"</f>
        <v>2022023319</v>
      </c>
      <c r="F93" s="17" t="s">
        <v>164</v>
      </c>
      <c r="G93" s="17" t="s">
        <v>93</v>
      </c>
      <c r="H93" s="13">
        <v>30</v>
      </c>
      <c r="I93" s="13">
        <f t="shared" si="10"/>
        <v>140.1</v>
      </c>
      <c r="J93" s="13">
        <f t="shared" si="11"/>
        <v>70.05</v>
      </c>
      <c r="K93" s="7">
        <v>83.68</v>
      </c>
      <c r="L93" s="18">
        <f t="shared" si="12"/>
        <v>76.865000000000009</v>
      </c>
      <c r="M93" s="8">
        <v>1</v>
      </c>
    </row>
    <row r="94" spans="1:13">
      <c r="A94" s="7">
        <v>92</v>
      </c>
      <c r="B94" s="13" t="str">
        <f t="shared" si="14"/>
        <v>106</v>
      </c>
      <c r="C94" s="13" t="s">
        <v>163</v>
      </c>
      <c r="D94" s="13" t="str">
        <f>"李四维"</f>
        <v>李四维</v>
      </c>
      <c r="E94" s="13" t="str">
        <f>"2022023020"</f>
        <v>2022023020</v>
      </c>
      <c r="F94" s="17" t="s">
        <v>57</v>
      </c>
      <c r="G94" s="17" t="s">
        <v>95</v>
      </c>
      <c r="H94" s="13">
        <v>30</v>
      </c>
      <c r="I94" s="13">
        <f t="shared" si="10"/>
        <v>135.80000000000001</v>
      </c>
      <c r="J94" s="13">
        <f t="shared" si="11"/>
        <v>67.900000000000006</v>
      </c>
      <c r="K94" s="7">
        <v>84.14</v>
      </c>
      <c r="L94" s="18">
        <f t="shared" si="12"/>
        <v>76.02000000000001</v>
      </c>
      <c r="M94" s="8">
        <v>2</v>
      </c>
    </row>
    <row r="95" spans="1:13">
      <c r="A95" s="7">
        <v>93</v>
      </c>
      <c r="B95" s="13" t="str">
        <f t="shared" si="14"/>
        <v>106</v>
      </c>
      <c r="C95" s="13" t="s">
        <v>163</v>
      </c>
      <c r="D95" s="13" t="str">
        <f>"杨梅"</f>
        <v>杨梅</v>
      </c>
      <c r="E95" s="13" t="str">
        <f>"2022022610"</f>
        <v>2022022610</v>
      </c>
      <c r="F95" s="17" t="s">
        <v>38</v>
      </c>
      <c r="G95" s="17" t="s">
        <v>165</v>
      </c>
      <c r="H95" s="13">
        <v>30</v>
      </c>
      <c r="I95" s="13">
        <f t="shared" si="10"/>
        <v>139.19999999999999</v>
      </c>
      <c r="J95" s="13">
        <f t="shared" si="11"/>
        <v>69.599999999999994</v>
      </c>
      <c r="K95" s="7">
        <v>82.08</v>
      </c>
      <c r="L95" s="18">
        <f t="shared" si="12"/>
        <v>75.84</v>
      </c>
      <c r="M95" s="8">
        <v>3</v>
      </c>
    </row>
    <row r="96" spans="1:13">
      <c r="A96" s="7">
        <v>94</v>
      </c>
      <c r="B96" s="13" t="str">
        <f t="shared" si="14"/>
        <v>106</v>
      </c>
      <c r="C96" s="13" t="s">
        <v>163</v>
      </c>
      <c r="D96" s="13" t="str">
        <f>"韩静"</f>
        <v>韩静</v>
      </c>
      <c r="E96" s="13" t="str">
        <f>"2022021907"</f>
        <v>2022021907</v>
      </c>
      <c r="F96" s="17" t="s">
        <v>77</v>
      </c>
      <c r="G96" s="17" t="s">
        <v>25</v>
      </c>
      <c r="H96" s="13">
        <v>29</v>
      </c>
      <c r="I96" s="13">
        <f t="shared" si="10"/>
        <v>132.80000000000001</v>
      </c>
      <c r="J96" s="13">
        <f t="shared" si="11"/>
        <v>66.400000000000006</v>
      </c>
      <c r="K96" s="7">
        <v>83.88</v>
      </c>
      <c r="L96" s="18">
        <f t="shared" si="12"/>
        <v>75.14</v>
      </c>
      <c r="M96" s="8">
        <v>4</v>
      </c>
    </row>
    <row r="97" spans="1:13">
      <c r="A97" s="7">
        <v>95</v>
      </c>
      <c r="B97" s="13" t="str">
        <f t="shared" si="14"/>
        <v>106</v>
      </c>
      <c r="C97" s="13" t="s">
        <v>163</v>
      </c>
      <c r="D97" s="13" t="str">
        <f>"张婷"</f>
        <v>张婷</v>
      </c>
      <c r="E97" s="13" t="str">
        <f>"2022023420"</f>
        <v>2022023420</v>
      </c>
      <c r="F97" s="17" t="s">
        <v>166</v>
      </c>
      <c r="G97" s="17" t="s">
        <v>167</v>
      </c>
      <c r="H97" s="13">
        <v>27</v>
      </c>
      <c r="I97" s="13">
        <f t="shared" si="10"/>
        <v>144.30000000000001</v>
      </c>
      <c r="J97" s="13">
        <f t="shared" si="11"/>
        <v>72.150000000000006</v>
      </c>
      <c r="K97" s="7">
        <v>77.22</v>
      </c>
      <c r="L97" s="18">
        <f t="shared" si="12"/>
        <v>74.685000000000002</v>
      </c>
      <c r="M97" s="8">
        <v>5</v>
      </c>
    </row>
    <row r="98" spans="1:13">
      <c r="A98" s="7">
        <v>96</v>
      </c>
      <c r="B98" s="13" t="str">
        <f t="shared" si="14"/>
        <v>106</v>
      </c>
      <c r="C98" s="13" t="s">
        <v>163</v>
      </c>
      <c r="D98" s="13" t="str">
        <f>"赵雨晴"</f>
        <v>赵雨晴</v>
      </c>
      <c r="E98" s="13" t="str">
        <f>"2022021405"</f>
        <v>2022021405</v>
      </c>
      <c r="F98" s="17" t="s">
        <v>168</v>
      </c>
      <c r="G98" s="17" t="s">
        <v>61</v>
      </c>
      <c r="H98" s="13">
        <v>30</v>
      </c>
      <c r="I98" s="13">
        <f t="shared" si="10"/>
        <v>135.39999999999998</v>
      </c>
      <c r="J98" s="13">
        <f t="shared" si="11"/>
        <v>67.699999999999989</v>
      </c>
      <c r="K98" s="7">
        <v>81.540000000000006</v>
      </c>
      <c r="L98" s="18">
        <f t="shared" si="12"/>
        <v>74.62</v>
      </c>
      <c r="M98" s="8">
        <v>6</v>
      </c>
    </row>
    <row r="99" spans="1:13">
      <c r="A99" s="7">
        <v>97</v>
      </c>
      <c r="B99" s="13" t="str">
        <f t="shared" si="14"/>
        <v>106</v>
      </c>
      <c r="C99" s="13" t="s">
        <v>163</v>
      </c>
      <c r="D99" s="13" t="str">
        <f>"任海鹏"</f>
        <v>任海鹏</v>
      </c>
      <c r="E99" s="13" t="str">
        <f>"2022024005"</f>
        <v>2022024005</v>
      </c>
      <c r="F99" s="17" t="s">
        <v>59</v>
      </c>
      <c r="G99" s="17" t="s">
        <v>45</v>
      </c>
      <c r="H99" s="13">
        <v>29</v>
      </c>
      <c r="I99" s="13">
        <f t="shared" ref="I99:I130" si="15">F99+G99+H99</f>
        <v>133.5</v>
      </c>
      <c r="J99" s="13">
        <f t="shared" ref="J99:J130" si="16">I99/2</f>
        <v>66.75</v>
      </c>
      <c r="K99" s="7">
        <v>81.900000000000006</v>
      </c>
      <c r="L99" s="18">
        <f t="shared" ref="L99:L130" si="17">J99/2+K99/2</f>
        <v>74.325000000000003</v>
      </c>
      <c r="M99" s="8">
        <v>7</v>
      </c>
    </row>
    <row r="100" spans="1:13">
      <c r="A100" s="7">
        <v>98</v>
      </c>
      <c r="B100" s="13" t="str">
        <f t="shared" si="14"/>
        <v>106</v>
      </c>
      <c r="C100" s="13" t="s">
        <v>163</v>
      </c>
      <c r="D100" s="13" t="str">
        <f>"姜萍"</f>
        <v>姜萍</v>
      </c>
      <c r="E100" s="13" t="str">
        <f>"2022023824"</f>
        <v>2022023824</v>
      </c>
      <c r="F100" s="17" t="s">
        <v>16</v>
      </c>
      <c r="G100" s="17" t="s">
        <v>169</v>
      </c>
      <c r="H100" s="13">
        <v>29</v>
      </c>
      <c r="I100" s="13">
        <f t="shared" si="15"/>
        <v>146.9</v>
      </c>
      <c r="J100" s="13">
        <f t="shared" si="16"/>
        <v>73.45</v>
      </c>
      <c r="K100" s="7">
        <v>74.64</v>
      </c>
      <c r="L100" s="18">
        <f t="shared" si="17"/>
        <v>74.045000000000002</v>
      </c>
      <c r="M100" s="8">
        <v>8</v>
      </c>
    </row>
    <row r="101" spans="1:13">
      <c r="A101" s="7">
        <v>99</v>
      </c>
      <c r="B101" s="13" t="str">
        <f t="shared" si="14"/>
        <v>106</v>
      </c>
      <c r="C101" s="13" t="s">
        <v>163</v>
      </c>
      <c r="D101" s="13" t="str">
        <f>"李敬文"</f>
        <v>李敬文</v>
      </c>
      <c r="E101" s="13" t="str">
        <f>"2022023321"</f>
        <v>2022023321</v>
      </c>
      <c r="F101" s="17" t="s">
        <v>44</v>
      </c>
      <c r="G101" s="17" t="s">
        <v>162</v>
      </c>
      <c r="H101" s="13">
        <v>30</v>
      </c>
      <c r="I101" s="13">
        <f t="shared" si="15"/>
        <v>140.69999999999999</v>
      </c>
      <c r="J101" s="13">
        <f t="shared" si="16"/>
        <v>70.349999999999994</v>
      </c>
      <c r="K101" s="7">
        <v>77.2</v>
      </c>
      <c r="L101" s="18">
        <f t="shared" si="17"/>
        <v>73.775000000000006</v>
      </c>
      <c r="M101" s="8">
        <v>9</v>
      </c>
    </row>
    <row r="102" spans="1:13">
      <c r="A102" s="7">
        <v>100</v>
      </c>
      <c r="B102" s="13" t="str">
        <f t="shared" si="14"/>
        <v>106</v>
      </c>
      <c r="C102" s="13" t="s">
        <v>163</v>
      </c>
      <c r="D102" s="13" t="str">
        <f>"崔华兰"</f>
        <v>崔华兰</v>
      </c>
      <c r="E102" s="13" t="str">
        <f>"2022020521"</f>
        <v>2022020521</v>
      </c>
      <c r="F102" s="17" t="s">
        <v>170</v>
      </c>
      <c r="G102" s="17" t="s">
        <v>68</v>
      </c>
      <c r="H102" s="13">
        <v>30</v>
      </c>
      <c r="I102" s="13">
        <f t="shared" si="15"/>
        <v>132.39999999999998</v>
      </c>
      <c r="J102" s="13">
        <f t="shared" si="16"/>
        <v>66.199999999999989</v>
      </c>
      <c r="K102" s="7">
        <v>79.08</v>
      </c>
      <c r="L102" s="18">
        <f t="shared" si="17"/>
        <v>72.639999999999986</v>
      </c>
      <c r="M102" s="8">
        <v>10</v>
      </c>
    </row>
    <row r="103" spans="1:13">
      <c r="A103" s="7">
        <v>101</v>
      </c>
      <c r="B103" s="13" t="str">
        <f t="shared" si="14"/>
        <v>106</v>
      </c>
      <c r="C103" s="13" t="s">
        <v>163</v>
      </c>
      <c r="D103" s="13" t="str">
        <f>"汪晓雨"</f>
        <v>汪晓雨</v>
      </c>
      <c r="E103" s="13" t="str">
        <f>"2022023028"</f>
        <v>2022023028</v>
      </c>
      <c r="F103" s="17" t="s">
        <v>171</v>
      </c>
      <c r="G103" s="17" t="s">
        <v>165</v>
      </c>
      <c r="H103" s="13">
        <v>30</v>
      </c>
      <c r="I103" s="13">
        <f t="shared" si="15"/>
        <v>150.6</v>
      </c>
      <c r="J103" s="13">
        <f t="shared" si="16"/>
        <v>75.3</v>
      </c>
      <c r="K103" s="7">
        <v>69.959999999999994</v>
      </c>
      <c r="L103" s="18">
        <f t="shared" si="17"/>
        <v>72.63</v>
      </c>
      <c r="M103" s="8">
        <v>11</v>
      </c>
    </row>
    <row r="104" spans="1:13">
      <c r="A104" s="7">
        <v>102</v>
      </c>
      <c r="B104" s="13" t="str">
        <f t="shared" si="14"/>
        <v>106</v>
      </c>
      <c r="C104" s="13" t="s">
        <v>163</v>
      </c>
      <c r="D104" s="13" t="str">
        <f>"李翠凤"</f>
        <v>李翠凤</v>
      </c>
      <c r="E104" s="13" t="str">
        <f>"2022021510"</f>
        <v>2022021510</v>
      </c>
      <c r="F104" s="17" t="s">
        <v>172</v>
      </c>
      <c r="G104" s="17" t="s">
        <v>116</v>
      </c>
      <c r="H104" s="13">
        <v>30</v>
      </c>
      <c r="I104" s="13">
        <f t="shared" si="15"/>
        <v>122.1</v>
      </c>
      <c r="J104" s="13">
        <f t="shared" si="16"/>
        <v>61.05</v>
      </c>
      <c r="K104" s="7">
        <v>83.84</v>
      </c>
      <c r="L104" s="18">
        <f t="shared" si="17"/>
        <v>72.444999999999993</v>
      </c>
      <c r="M104" s="8">
        <v>12</v>
      </c>
    </row>
    <row r="105" spans="1:13">
      <c r="A105" s="7">
        <v>103</v>
      </c>
      <c r="B105" s="13" t="str">
        <f t="shared" si="14"/>
        <v>106</v>
      </c>
      <c r="C105" s="13" t="s">
        <v>163</v>
      </c>
      <c r="D105" s="13" t="str">
        <f>"张毛从"</f>
        <v>张毛从</v>
      </c>
      <c r="E105" s="13" t="str">
        <f>"2022023806"</f>
        <v>2022023806</v>
      </c>
      <c r="F105" s="17" t="s">
        <v>120</v>
      </c>
      <c r="G105" s="17" t="s">
        <v>49</v>
      </c>
      <c r="H105" s="13">
        <v>27</v>
      </c>
      <c r="I105" s="13">
        <f t="shared" si="15"/>
        <v>126.7</v>
      </c>
      <c r="J105" s="13">
        <f t="shared" si="16"/>
        <v>63.35</v>
      </c>
      <c r="K105" s="7">
        <v>81.02</v>
      </c>
      <c r="L105" s="18">
        <f t="shared" si="17"/>
        <v>72.185000000000002</v>
      </c>
      <c r="M105" s="8">
        <v>13</v>
      </c>
    </row>
    <row r="106" spans="1:13">
      <c r="A106" s="7">
        <v>104</v>
      </c>
      <c r="B106" s="13" t="str">
        <f t="shared" si="14"/>
        <v>106</v>
      </c>
      <c r="C106" s="13" t="s">
        <v>163</v>
      </c>
      <c r="D106" s="13" t="str">
        <f>"张雪杰"</f>
        <v>张雪杰</v>
      </c>
      <c r="E106" s="13" t="str">
        <f>"2022021503"</f>
        <v>2022021503</v>
      </c>
      <c r="F106" s="17" t="s">
        <v>26</v>
      </c>
      <c r="G106" s="17" t="s">
        <v>75</v>
      </c>
      <c r="H106" s="13">
        <v>30</v>
      </c>
      <c r="I106" s="13">
        <f t="shared" si="15"/>
        <v>132.9</v>
      </c>
      <c r="J106" s="13">
        <f t="shared" si="16"/>
        <v>66.45</v>
      </c>
      <c r="K106" s="7">
        <v>77.8</v>
      </c>
      <c r="L106" s="18">
        <f t="shared" si="17"/>
        <v>72.125</v>
      </c>
      <c r="M106" s="8">
        <v>14</v>
      </c>
    </row>
    <row r="107" spans="1:13">
      <c r="A107" s="7">
        <v>105</v>
      </c>
      <c r="B107" s="13" t="str">
        <f t="shared" si="14"/>
        <v>106</v>
      </c>
      <c r="C107" s="13" t="s">
        <v>163</v>
      </c>
      <c r="D107" s="13" t="str">
        <f>"刘彦莉"</f>
        <v>刘彦莉</v>
      </c>
      <c r="E107" s="13" t="str">
        <f>"2022020308"</f>
        <v>2022020308</v>
      </c>
      <c r="F107" s="17" t="s">
        <v>173</v>
      </c>
      <c r="G107" s="17" t="s">
        <v>131</v>
      </c>
      <c r="H107" s="13">
        <v>28</v>
      </c>
      <c r="I107" s="13">
        <f t="shared" si="15"/>
        <v>134</v>
      </c>
      <c r="J107" s="13">
        <f t="shared" si="16"/>
        <v>67</v>
      </c>
      <c r="K107" s="7">
        <v>76.66</v>
      </c>
      <c r="L107" s="18">
        <f t="shared" si="17"/>
        <v>71.83</v>
      </c>
      <c r="M107" s="8">
        <v>15</v>
      </c>
    </row>
    <row r="108" spans="1:13">
      <c r="A108" s="7">
        <v>106</v>
      </c>
      <c r="B108" s="13" t="str">
        <f t="shared" si="14"/>
        <v>106</v>
      </c>
      <c r="C108" s="13" t="s">
        <v>163</v>
      </c>
      <c r="D108" s="13" t="str">
        <f>"张清晨"</f>
        <v>张清晨</v>
      </c>
      <c r="E108" s="13" t="str">
        <f>"2022022320"</f>
        <v>2022022320</v>
      </c>
      <c r="F108" s="17" t="s">
        <v>174</v>
      </c>
      <c r="G108" s="17" t="s">
        <v>175</v>
      </c>
      <c r="H108" s="13">
        <v>30</v>
      </c>
      <c r="I108" s="13">
        <f t="shared" si="15"/>
        <v>138.30000000000001</v>
      </c>
      <c r="J108" s="13">
        <f t="shared" si="16"/>
        <v>69.150000000000006</v>
      </c>
      <c r="K108" s="7">
        <v>74.38</v>
      </c>
      <c r="L108" s="18">
        <f t="shared" si="17"/>
        <v>71.765000000000001</v>
      </c>
      <c r="M108" s="8">
        <v>16</v>
      </c>
    </row>
    <row r="109" spans="1:13">
      <c r="A109" s="7">
        <v>107</v>
      </c>
      <c r="B109" s="13" t="str">
        <f t="shared" si="14"/>
        <v>106</v>
      </c>
      <c r="C109" s="13" t="s">
        <v>163</v>
      </c>
      <c r="D109" s="13" t="str">
        <f>"吴梦奇"</f>
        <v>吴梦奇</v>
      </c>
      <c r="E109" s="13" t="str">
        <f>"2022021508"</f>
        <v>2022021508</v>
      </c>
      <c r="F109" s="17" t="s">
        <v>51</v>
      </c>
      <c r="G109" s="17" t="s">
        <v>87</v>
      </c>
      <c r="H109" s="13">
        <v>28</v>
      </c>
      <c r="I109" s="13">
        <f t="shared" si="15"/>
        <v>132.19999999999999</v>
      </c>
      <c r="J109" s="13">
        <f t="shared" si="16"/>
        <v>66.099999999999994</v>
      </c>
      <c r="K109" s="7">
        <v>77.06</v>
      </c>
      <c r="L109" s="18">
        <f t="shared" si="17"/>
        <v>71.58</v>
      </c>
      <c r="M109" s="8">
        <v>17</v>
      </c>
    </row>
    <row r="110" spans="1:13">
      <c r="A110" s="7">
        <v>108</v>
      </c>
      <c r="B110" s="13" t="str">
        <f t="shared" si="14"/>
        <v>106</v>
      </c>
      <c r="C110" s="13" t="s">
        <v>163</v>
      </c>
      <c r="D110" s="13" t="str">
        <f>"徐秀芳"</f>
        <v>徐秀芳</v>
      </c>
      <c r="E110" s="13" t="str">
        <f>"2022022915"</f>
        <v>2022022915</v>
      </c>
      <c r="F110" s="17" t="s">
        <v>176</v>
      </c>
      <c r="G110" s="17" t="s">
        <v>83</v>
      </c>
      <c r="H110" s="13">
        <v>30</v>
      </c>
      <c r="I110" s="13">
        <f t="shared" si="15"/>
        <v>120.8</v>
      </c>
      <c r="J110" s="13">
        <f t="shared" si="16"/>
        <v>60.4</v>
      </c>
      <c r="K110" s="7">
        <v>81.94</v>
      </c>
      <c r="L110" s="18">
        <f t="shared" si="17"/>
        <v>71.17</v>
      </c>
      <c r="M110" s="8">
        <v>18</v>
      </c>
    </row>
    <row r="111" spans="1:13">
      <c r="A111" s="7">
        <v>109</v>
      </c>
      <c r="B111" s="13" t="str">
        <f t="shared" si="14"/>
        <v>106</v>
      </c>
      <c r="C111" s="13" t="s">
        <v>163</v>
      </c>
      <c r="D111" s="13" t="str">
        <f>"孙晓会"</f>
        <v>孙晓会</v>
      </c>
      <c r="E111" s="13" t="str">
        <f>"2022022323"</f>
        <v>2022022323</v>
      </c>
      <c r="F111" s="17" t="s">
        <v>177</v>
      </c>
      <c r="G111" s="17" t="s">
        <v>178</v>
      </c>
      <c r="H111" s="13">
        <v>30</v>
      </c>
      <c r="I111" s="13">
        <f t="shared" si="15"/>
        <v>138.6</v>
      </c>
      <c r="J111" s="13">
        <f t="shared" si="16"/>
        <v>69.3</v>
      </c>
      <c r="K111" s="7">
        <v>73.02</v>
      </c>
      <c r="L111" s="18">
        <f t="shared" si="17"/>
        <v>71.16</v>
      </c>
      <c r="M111" s="8">
        <v>19</v>
      </c>
    </row>
    <row r="112" spans="1:13">
      <c r="A112" s="7">
        <v>110</v>
      </c>
      <c r="B112" s="13" t="str">
        <f t="shared" si="14"/>
        <v>106</v>
      </c>
      <c r="C112" s="13" t="s">
        <v>163</v>
      </c>
      <c r="D112" s="13" t="str">
        <f>"李德荣"</f>
        <v>李德荣</v>
      </c>
      <c r="E112" s="13" t="str">
        <f>"2022023919"</f>
        <v>2022023919</v>
      </c>
      <c r="F112" s="17" t="s">
        <v>149</v>
      </c>
      <c r="G112" s="17" t="s">
        <v>84</v>
      </c>
      <c r="H112" s="13">
        <v>29</v>
      </c>
      <c r="I112" s="13">
        <f t="shared" si="15"/>
        <v>125.4</v>
      </c>
      <c r="J112" s="13">
        <f t="shared" si="16"/>
        <v>62.7</v>
      </c>
      <c r="K112" s="7">
        <v>79.44</v>
      </c>
      <c r="L112" s="18">
        <f t="shared" si="17"/>
        <v>71.069999999999993</v>
      </c>
      <c r="M112" s="8">
        <v>20</v>
      </c>
    </row>
    <row r="113" spans="1:13">
      <c r="A113" s="7">
        <v>111</v>
      </c>
      <c r="B113" s="13" t="str">
        <f t="shared" si="14"/>
        <v>106</v>
      </c>
      <c r="C113" s="13" t="s">
        <v>163</v>
      </c>
      <c r="D113" s="13" t="str">
        <f>"王明珠"</f>
        <v>王明珠</v>
      </c>
      <c r="E113" s="13" t="str">
        <f>"2022020516"</f>
        <v>2022020516</v>
      </c>
      <c r="F113" s="17" t="s">
        <v>164</v>
      </c>
      <c r="G113" s="17" t="s">
        <v>75</v>
      </c>
      <c r="H113" s="13">
        <v>27</v>
      </c>
      <c r="I113" s="13">
        <f t="shared" si="15"/>
        <v>125.19999999999999</v>
      </c>
      <c r="J113" s="13">
        <f t="shared" si="16"/>
        <v>62.599999999999994</v>
      </c>
      <c r="K113" s="7">
        <v>79.099999999999994</v>
      </c>
      <c r="L113" s="18">
        <f t="shared" si="17"/>
        <v>70.849999999999994</v>
      </c>
      <c r="M113" s="8">
        <v>21</v>
      </c>
    </row>
    <row r="114" spans="1:13">
      <c r="A114" s="7">
        <v>112</v>
      </c>
      <c r="B114" s="13" t="str">
        <f t="shared" si="14"/>
        <v>106</v>
      </c>
      <c r="C114" s="13" t="s">
        <v>163</v>
      </c>
      <c r="D114" s="13" t="str">
        <f>"祁琪"</f>
        <v>祁琪</v>
      </c>
      <c r="E114" s="13" t="str">
        <f>"2022023628"</f>
        <v>2022023628</v>
      </c>
      <c r="F114" s="17" t="s">
        <v>179</v>
      </c>
      <c r="G114" s="17" t="s">
        <v>88</v>
      </c>
      <c r="H114" s="13">
        <v>29</v>
      </c>
      <c r="I114" s="13">
        <f t="shared" si="15"/>
        <v>128.19999999999999</v>
      </c>
      <c r="J114" s="13">
        <f t="shared" si="16"/>
        <v>64.099999999999994</v>
      </c>
      <c r="K114" s="7">
        <v>77.16</v>
      </c>
      <c r="L114" s="18">
        <f t="shared" si="17"/>
        <v>70.63</v>
      </c>
      <c r="M114" s="8">
        <v>22</v>
      </c>
    </row>
    <row r="115" spans="1:13">
      <c r="A115" s="7">
        <v>113</v>
      </c>
      <c r="B115" s="13" t="str">
        <f t="shared" si="14"/>
        <v>106</v>
      </c>
      <c r="C115" s="13" t="s">
        <v>163</v>
      </c>
      <c r="D115" s="13" t="str">
        <f>"周晴"</f>
        <v>周晴</v>
      </c>
      <c r="E115" s="13" t="str">
        <f>"2022021624"</f>
        <v>2022021624</v>
      </c>
      <c r="F115" s="17" t="s">
        <v>30</v>
      </c>
      <c r="G115" s="17" t="s">
        <v>180</v>
      </c>
      <c r="H115" s="13">
        <v>28</v>
      </c>
      <c r="I115" s="13">
        <f t="shared" si="15"/>
        <v>122.1</v>
      </c>
      <c r="J115" s="13">
        <f t="shared" si="16"/>
        <v>61.05</v>
      </c>
      <c r="K115" s="7">
        <v>80.099999999999994</v>
      </c>
      <c r="L115" s="18">
        <f t="shared" si="17"/>
        <v>70.574999999999989</v>
      </c>
      <c r="M115" s="8">
        <v>23</v>
      </c>
    </row>
    <row r="116" spans="1:13">
      <c r="A116" s="7">
        <v>114</v>
      </c>
      <c r="B116" s="13" t="str">
        <f t="shared" si="14"/>
        <v>106</v>
      </c>
      <c r="C116" s="13" t="s">
        <v>163</v>
      </c>
      <c r="D116" s="13" t="str">
        <f>"张文静"</f>
        <v>张文静</v>
      </c>
      <c r="E116" s="13" t="str">
        <f>"2022022018"</f>
        <v>2022022018</v>
      </c>
      <c r="F116" s="17" t="s">
        <v>34</v>
      </c>
      <c r="G116" s="17" t="s">
        <v>88</v>
      </c>
      <c r="H116" s="13">
        <v>30</v>
      </c>
      <c r="I116" s="13">
        <f t="shared" si="15"/>
        <v>131.30000000000001</v>
      </c>
      <c r="J116" s="13">
        <f t="shared" si="16"/>
        <v>65.650000000000006</v>
      </c>
      <c r="K116" s="7">
        <v>75.44</v>
      </c>
      <c r="L116" s="18">
        <f t="shared" si="17"/>
        <v>70.545000000000002</v>
      </c>
      <c r="M116" s="8">
        <v>24</v>
      </c>
    </row>
    <row r="117" spans="1:13">
      <c r="A117" s="7">
        <v>115</v>
      </c>
      <c r="B117" s="13" t="str">
        <f t="shared" si="14"/>
        <v>106</v>
      </c>
      <c r="C117" s="13" t="s">
        <v>163</v>
      </c>
      <c r="D117" s="13" t="str">
        <f>"陈晓黎"</f>
        <v>陈晓黎</v>
      </c>
      <c r="E117" s="13" t="str">
        <f>"2022021319"</f>
        <v>2022021319</v>
      </c>
      <c r="F117" s="17" t="s">
        <v>26</v>
      </c>
      <c r="G117" s="17" t="s">
        <v>118</v>
      </c>
      <c r="H117" s="13">
        <v>29</v>
      </c>
      <c r="I117" s="13">
        <f t="shared" si="15"/>
        <v>130.80000000000001</v>
      </c>
      <c r="J117" s="13">
        <f t="shared" si="16"/>
        <v>65.400000000000006</v>
      </c>
      <c r="K117" s="7">
        <v>75.540000000000006</v>
      </c>
      <c r="L117" s="18">
        <f t="shared" si="17"/>
        <v>70.47</v>
      </c>
      <c r="M117" s="8">
        <v>25</v>
      </c>
    </row>
    <row r="118" spans="1:13">
      <c r="A118" s="7">
        <v>116</v>
      </c>
      <c r="B118" s="13" t="str">
        <f t="shared" si="14"/>
        <v>106</v>
      </c>
      <c r="C118" s="13" t="s">
        <v>163</v>
      </c>
      <c r="D118" s="13" t="str">
        <f>"王秀晴"</f>
        <v>王秀晴</v>
      </c>
      <c r="E118" s="13" t="str">
        <f>"2022024116"</f>
        <v>2022024116</v>
      </c>
      <c r="F118" s="17" t="s">
        <v>117</v>
      </c>
      <c r="G118" s="17" t="s">
        <v>47</v>
      </c>
      <c r="H118" s="13">
        <v>30</v>
      </c>
      <c r="I118" s="13">
        <f t="shared" si="15"/>
        <v>128.69999999999999</v>
      </c>
      <c r="J118" s="13">
        <f t="shared" si="16"/>
        <v>64.349999999999994</v>
      </c>
      <c r="K118" s="7">
        <v>75.900000000000006</v>
      </c>
      <c r="L118" s="18">
        <f t="shared" si="17"/>
        <v>70.125</v>
      </c>
      <c r="M118" s="8">
        <v>26</v>
      </c>
    </row>
    <row r="119" spans="1:13">
      <c r="A119" s="7">
        <v>117</v>
      </c>
      <c r="B119" s="13" t="str">
        <f>"107"</f>
        <v>107</v>
      </c>
      <c r="C119" s="13" t="s">
        <v>183</v>
      </c>
      <c r="D119" s="13" t="str">
        <f>"陈立琦"</f>
        <v>陈立琦</v>
      </c>
      <c r="E119" s="13" t="str">
        <f>"2022022808"</f>
        <v>2022022808</v>
      </c>
      <c r="F119" s="17" t="s">
        <v>28</v>
      </c>
      <c r="G119" s="17" t="s">
        <v>181</v>
      </c>
      <c r="H119" s="13">
        <v>29</v>
      </c>
      <c r="I119" s="13">
        <f t="shared" si="15"/>
        <v>125.3</v>
      </c>
      <c r="J119" s="13">
        <f t="shared" si="16"/>
        <v>62.65</v>
      </c>
      <c r="K119" s="7">
        <v>82.4</v>
      </c>
      <c r="L119" s="18">
        <f t="shared" si="17"/>
        <v>72.525000000000006</v>
      </c>
      <c r="M119" s="8">
        <v>1</v>
      </c>
    </row>
    <row r="120" spans="1:13">
      <c r="A120" s="7">
        <v>118</v>
      </c>
      <c r="B120" s="13" t="str">
        <f>"107"</f>
        <v>107</v>
      </c>
      <c r="C120" s="13" t="s">
        <v>183</v>
      </c>
      <c r="D120" s="13" t="str">
        <f>"刘鹏"</f>
        <v>刘鹏</v>
      </c>
      <c r="E120" s="13" t="str">
        <f>"2022023918"</f>
        <v>2022023918</v>
      </c>
      <c r="F120" s="17" t="s">
        <v>55</v>
      </c>
      <c r="G120" s="17" t="s">
        <v>53</v>
      </c>
      <c r="H120" s="13">
        <v>28</v>
      </c>
      <c r="I120" s="13">
        <f t="shared" si="15"/>
        <v>130.89999999999998</v>
      </c>
      <c r="J120" s="13">
        <f t="shared" si="16"/>
        <v>65.449999999999989</v>
      </c>
      <c r="K120" s="7">
        <v>79</v>
      </c>
      <c r="L120" s="18">
        <f t="shared" si="17"/>
        <v>72.224999999999994</v>
      </c>
      <c r="M120" s="8">
        <v>2</v>
      </c>
    </row>
    <row r="121" spans="1:13">
      <c r="A121" s="7">
        <v>119</v>
      </c>
      <c r="B121" s="13" t="str">
        <f>"107"</f>
        <v>107</v>
      </c>
      <c r="C121" s="13" t="s">
        <v>183</v>
      </c>
      <c r="D121" s="13" t="str">
        <f>"张庆港"</f>
        <v>张庆港</v>
      </c>
      <c r="E121" s="13" t="str">
        <f>"2022022816"</f>
        <v>2022022816</v>
      </c>
      <c r="F121" s="17" t="s">
        <v>54</v>
      </c>
      <c r="G121" s="17" t="s">
        <v>41</v>
      </c>
      <c r="H121" s="13">
        <v>29</v>
      </c>
      <c r="I121" s="13">
        <f t="shared" si="15"/>
        <v>130.6</v>
      </c>
      <c r="J121" s="13">
        <f t="shared" si="16"/>
        <v>65.3</v>
      </c>
      <c r="K121" s="7">
        <v>72.2</v>
      </c>
      <c r="L121" s="18">
        <f t="shared" si="17"/>
        <v>68.75</v>
      </c>
      <c r="M121" s="8">
        <v>3</v>
      </c>
    </row>
    <row r="122" spans="1:13">
      <c r="A122" s="7">
        <v>120</v>
      </c>
      <c r="B122" s="13" t="str">
        <f>"108"</f>
        <v>108</v>
      </c>
      <c r="C122" s="13" t="s">
        <v>184</v>
      </c>
      <c r="D122" s="13" t="str">
        <f>"韩田雨"</f>
        <v>韩田雨</v>
      </c>
      <c r="E122" s="13" t="str">
        <f>"2022021802"</f>
        <v>2022021802</v>
      </c>
      <c r="F122" s="17" t="s">
        <v>77</v>
      </c>
      <c r="G122" s="17" t="s">
        <v>142</v>
      </c>
      <c r="H122" s="13">
        <v>27</v>
      </c>
      <c r="I122" s="13">
        <f t="shared" si="15"/>
        <v>122.4</v>
      </c>
      <c r="J122" s="13">
        <f t="shared" si="16"/>
        <v>61.2</v>
      </c>
      <c r="K122" s="7">
        <v>74.8</v>
      </c>
      <c r="L122" s="18">
        <f t="shared" si="17"/>
        <v>68</v>
      </c>
      <c r="M122" s="8">
        <v>1</v>
      </c>
    </row>
    <row r="123" spans="1:13">
      <c r="A123" s="7">
        <v>121</v>
      </c>
      <c r="B123" s="13" t="str">
        <f>"108"</f>
        <v>108</v>
      </c>
      <c r="C123" s="13" t="s">
        <v>184</v>
      </c>
      <c r="D123" s="13" t="str">
        <f>"孔雨鑫"</f>
        <v>孔雨鑫</v>
      </c>
      <c r="E123" s="13" t="str">
        <f>"2022022220"</f>
        <v>2022022220</v>
      </c>
      <c r="F123" s="17" t="s">
        <v>185</v>
      </c>
      <c r="G123" s="17" t="s">
        <v>74</v>
      </c>
      <c r="H123" s="13">
        <v>26</v>
      </c>
      <c r="I123" s="13">
        <f t="shared" si="15"/>
        <v>124.7</v>
      </c>
      <c r="J123" s="13">
        <f t="shared" si="16"/>
        <v>62.35</v>
      </c>
      <c r="K123" s="7">
        <v>71.599999999999994</v>
      </c>
      <c r="L123" s="18">
        <f t="shared" si="17"/>
        <v>66.974999999999994</v>
      </c>
      <c r="M123" s="8">
        <v>2</v>
      </c>
    </row>
    <row r="124" spans="1:13">
      <c r="A124" s="7">
        <v>122</v>
      </c>
      <c r="B124" s="13" t="str">
        <f>"108"</f>
        <v>108</v>
      </c>
      <c r="C124" s="13" t="s">
        <v>184</v>
      </c>
      <c r="D124" s="13" t="str">
        <f>"丁玉"</f>
        <v>丁玉</v>
      </c>
      <c r="E124" s="13" t="str">
        <f>"2022020530"</f>
        <v>2022020530</v>
      </c>
      <c r="F124" s="17" t="s">
        <v>186</v>
      </c>
      <c r="G124" s="17" t="s">
        <v>35</v>
      </c>
      <c r="H124" s="13">
        <v>28</v>
      </c>
      <c r="I124" s="13">
        <f t="shared" si="15"/>
        <v>120.1</v>
      </c>
      <c r="J124" s="13">
        <f t="shared" si="16"/>
        <v>60.05</v>
      </c>
      <c r="K124" s="7">
        <v>70.8</v>
      </c>
      <c r="L124" s="18">
        <f t="shared" si="17"/>
        <v>65.424999999999997</v>
      </c>
      <c r="M124" s="8">
        <v>3</v>
      </c>
    </row>
    <row r="125" spans="1:13">
      <c r="A125" s="7">
        <v>123</v>
      </c>
      <c r="B125" s="13" t="str">
        <f>"109"</f>
        <v>109</v>
      </c>
      <c r="C125" s="13" t="s">
        <v>187</v>
      </c>
      <c r="D125" s="13" t="str">
        <f>"李雪慧"</f>
        <v>李雪慧</v>
      </c>
      <c r="E125" s="13" t="str">
        <f>"2022023205"</f>
        <v>2022023205</v>
      </c>
      <c r="F125" s="17" t="s">
        <v>114</v>
      </c>
      <c r="G125" s="17" t="s">
        <v>160</v>
      </c>
      <c r="H125" s="13">
        <v>30</v>
      </c>
      <c r="I125" s="13">
        <f t="shared" si="15"/>
        <v>125.6</v>
      </c>
      <c r="J125" s="13">
        <f t="shared" si="16"/>
        <v>62.8</v>
      </c>
      <c r="K125" s="7">
        <v>80.400000000000006</v>
      </c>
      <c r="L125" s="18">
        <f t="shared" si="17"/>
        <v>71.599999999999994</v>
      </c>
      <c r="M125" s="8">
        <v>1</v>
      </c>
    </row>
    <row r="126" spans="1:13">
      <c r="A126" s="7">
        <v>124</v>
      </c>
      <c r="B126" s="13" t="str">
        <f>"109"</f>
        <v>109</v>
      </c>
      <c r="C126" s="13" t="s">
        <v>187</v>
      </c>
      <c r="D126" s="13" t="str">
        <f>"赵雪茹"</f>
        <v>赵雪茹</v>
      </c>
      <c r="E126" s="13" t="str">
        <f>"2022022606"</f>
        <v>2022022606</v>
      </c>
      <c r="F126" s="17" t="s">
        <v>50</v>
      </c>
      <c r="G126" s="17" t="s">
        <v>188</v>
      </c>
      <c r="H126" s="13">
        <v>28</v>
      </c>
      <c r="I126" s="13">
        <f t="shared" si="15"/>
        <v>123.6</v>
      </c>
      <c r="J126" s="13">
        <f t="shared" si="16"/>
        <v>61.8</v>
      </c>
      <c r="K126" s="7">
        <v>74.2</v>
      </c>
      <c r="L126" s="18">
        <f t="shared" si="17"/>
        <v>68</v>
      </c>
      <c r="M126" s="8">
        <v>2</v>
      </c>
    </row>
    <row r="127" spans="1:13">
      <c r="A127" s="7">
        <v>125</v>
      </c>
      <c r="B127" s="13" t="str">
        <f>"109"</f>
        <v>109</v>
      </c>
      <c r="C127" s="13" t="s">
        <v>187</v>
      </c>
      <c r="D127" s="13" t="str">
        <f>"马玉玲"</f>
        <v>马玉玲</v>
      </c>
      <c r="E127" s="13" t="str">
        <f>"2022021523"</f>
        <v>2022021523</v>
      </c>
      <c r="F127" s="17" t="s">
        <v>109</v>
      </c>
      <c r="G127" s="17" t="s">
        <v>56</v>
      </c>
      <c r="H127" s="13">
        <v>28</v>
      </c>
      <c r="I127" s="13">
        <f t="shared" si="15"/>
        <v>122.7</v>
      </c>
      <c r="J127" s="13">
        <f t="shared" si="16"/>
        <v>61.35</v>
      </c>
      <c r="K127" s="7">
        <v>73.599999999999994</v>
      </c>
      <c r="L127" s="18">
        <f t="shared" si="17"/>
        <v>67.474999999999994</v>
      </c>
      <c r="M127" s="8">
        <v>3</v>
      </c>
    </row>
    <row r="128" spans="1:13">
      <c r="A128" s="7">
        <v>126</v>
      </c>
      <c r="B128" s="9" t="str">
        <f>"109"</f>
        <v>109</v>
      </c>
      <c r="C128" s="9" t="s">
        <v>187</v>
      </c>
      <c r="D128" s="9" t="str">
        <f>"吴瑞瑞"</f>
        <v>吴瑞瑞</v>
      </c>
      <c r="E128" s="9" t="str">
        <f>"2022022616"</f>
        <v>2022022616</v>
      </c>
      <c r="F128" s="10" t="s">
        <v>120</v>
      </c>
      <c r="G128" s="10" t="s">
        <v>79</v>
      </c>
      <c r="H128" s="9">
        <v>30</v>
      </c>
      <c r="I128" s="9">
        <f t="shared" si="15"/>
        <v>123.1</v>
      </c>
      <c r="J128" s="9">
        <f t="shared" si="16"/>
        <v>61.55</v>
      </c>
      <c r="K128" s="8">
        <v>70.599999999999994</v>
      </c>
      <c r="L128" s="11">
        <f t="shared" si="17"/>
        <v>66.074999999999989</v>
      </c>
      <c r="M128" s="8">
        <v>4</v>
      </c>
    </row>
    <row r="129" spans="1:13">
      <c r="A129" s="7">
        <v>127</v>
      </c>
      <c r="B129" s="9" t="str">
        <f>"109"</f>
        <v>109</v>
      </c>
      <c r="C129" s="9" t="s">
        <v>187</v>
      </c>
      <c r="D129" s="9" t="str">
        <f>"张雨晴"</f>
        <v>张雨晴</v>
      </c>
      <c r="E129" s="9" t="str">
        <f>"2022020825"</f>
        <v>2022020825</v>
      </c>
      <c r="F129" s="10" t="s">
        <v>22</v>
      </c>
      <c r="G129" s="10" t="s">
        <v>182</v>
      </c>
      <c r="H129" s="9">
        <v>27</v>
      </c>
      <c r="I129" s="9">
        <f t="shared" si="15"/>
        <v>121</v>
      </c>
      <c r="J129" s="9">
        <f t="shared" si="16"/>
        <v>60.5</v>
      </c>
      <c r="K129" s="8">
        <v>71.400000000000006</v>
      </c>
      <c r="L129" s="11">
        <f t="shared" si="17"/>
        <v>65.95</v>
      </c>
      <c r="M129" s="8">
        <v>5</v>
      </c>
    </row>
    <row r="130" spans="1:13">
      <c r="A130" s="7">
        <v>128</v>
      </c>
      <c r="B130" s="9" t="str">
        <f>"110"</f>
        <v>110</v>
      </c>
      <c r="C130" s="9" t="s">
        <v>189</v>
      </c>
      <c r="D130" s="9" t="str">
        <f>"王宇婷"</f>
        <v>王宇婷</v>
      </c>
      <c r="E130" s="9" t="str">
        <f>"2022021411"</f>
        <v>2022021411</v>
      </c>
      <c r="F130" s="10" t="s">
        <v>190</v>
      </c>
      <c r="G130" s="10" t="s">
        <v>116</v>
      </c>
      <c r="H130" s="9">
        <v>30</v>
      </c>
      <c r="I130" s="9">
        <f t="shared" si="15"/>
        <v>145.9</v>
      </c>
      <c r="J130" s="9">
        <f t="shared" si="16"/>
        <v>72.95</v>
      </c>
      <c r="K130" s="8">
        <v>76.400000000000006</v>
      </c>
      <c r="L130" s="11">
        <f t="shared" si="17"/>
        <v>74.675000000000011</v>
      </c>
      <c r="M130" s="8">
        <v>1</v>
      </c>
    </row>
    <row r="131" spans="1:13">
      <c r="A131" s="7">
        <v>129</v>
      </c>
      <c r="B131" s="9" t="str">
        <f>"110"</f>
        <v>110</v>
      </c>
      <c r="C131" s="9" t="s">
        <v>189</v>
      </c>
      <c r="D131" s="9" t="str">
        <f>"张甜甜"</f>
        <v>张甜甜</v>
      </c>
      <c r="E131" s="9" t="str">
        <f>"2022021101"</f>
        <v>2022021101</v>
      </c>
      <c r="F131" s="10" t="s">
        <v>28</v>
      </c>
      <c r="G131" s="10" t="s">
        <v>23</v>
      </c>
      <c r="H131" s="9">
        <v>30</v>
      </c>
      <c r="I131" s="9">
        <f t="shared" ref="I131:I146" si="18">F131+G131+H131</f>
        <v>135.4</v>
      </c>
      <c r="J131" s="9">
        <f t="shared" ref="J131:J146" si="19">I131/2</f>
        <v>67.7</v>
      </c>
      <c r="K131" s="8">
        <v>81.599999999999994</v>
      </c>
      <c r="L131" s="11">
        <f t="shared" ref="L131:L146" si="20">J131/2+K131/2</f>
        <v>74.650000000000006</v>
      </c>
      <c r="M131" s="8">
        <v>2</v>
      </c>
    </row>
    <row r="132" spans="1:13">
      <c r="A132" s="7">
        <v>130</v>
      </c>
      <c r="B132" s="9" t="str">
        <f>"110"</f>
        <v>110</v>
      </c>
      <c r="C132" s="9" t="s">
        <v>189</v>
      </c>
      <c r="D132" s="9" t="str">
        <f>"沈昊文"</f>
        <v>沈昊文</v>
      </c>
      <c r="E132" s="9" t="str">
        <f>"2022020418"</f>
        <v>2022020418</v>
      </c>
      <c r="F132" s="10" t="s">
        <v>82</v>
      </c>
      <c r="G132" s="10" t="s">
        <v>130</v>
      </c>
      <c r="H132" s="9">
        <v>30</v>
      </c>
      <c r="I132" s="9">
        <f t="shared" si="18"/>
        <v>131.9</v>
      </c>
      <c r="J132" s="9">
        <f t="shared" si="19"/>
        <v>65.95</v>
      </c>
      <c r="K132" s="8">
        <v>82.6</v>
      </c>
      <c r="L132" s="11">
        <f t="shared" si="20"/>
        <v>74.275000000000006</v>
      </c>
      <c r="M132" s="8">
        <v>3</v>
      </c>
    </row>
    <row r="133" spans="1:13">
      <c r="A133" s="7">
        <v>131</v>
      </c>
      <c r="B133" s="9" t="str">
        <f>"110"</f>
        <v>110</v>
      </c>
      <c r="C133" s="9" t="s">
        <v>189</v>
      </c>
      <c r="D133" s="9" t="str">
        <f>"刘泔辰"</f>
        <v>刘泔辰</v>
      </c>
      <c r="E133" s="9" t="str">
        <f>"2022020315"</f>
        <v>2022020315</v>
      </c>
      <c r="F133" s="10" t="s">
        <v>128</v>
      </c>
      <c r="G133" s="10" t="s">
        <v>45</v>
      </c>
      <c r="H133" s="9">
        <v>30</v>
      </c>
      <c r="I133" s="9">
        <f t="shared" si="18"/>
        <v>137.4</v>
      </c>
      <c r="J133" s="9">
        <f t="shared" si="19"/>
        <v>68.7</v>
      </c>
      <c r="K133" s="8">
        <v>78.2</v>
      </c>
      <c r="L133" s="11">
        <f t="shared" si="20"/>
        <v>73.45</v>
      </c>
      <c r="M133" s="8">
        <v>4</v>
      </c>
    </row>
    <row r="134" spans="1:13">
      <c r="A134" s="7">
        <v>132</v>
      </c>
      <c r="B134" s="9" t="str">
        <f>"110"</f>
        <v>110</v>
      </c>
      <c r="C134" s="9" t="s">
        <v>189</v>
      </c>
      <c r="D134" s="9" t="str">
        <f>"杭传茹"</f>
        <v>杭传茹</v>
      </c>
      <c r="E134" s="9" t="str">
        <f>"2022021403"</f>
        <v>2022021403</v>
      </c>
      <c r="F134" s="10" t="s">
        <v>46</v>
      </c>
      <c r="G134" s="10" t="s">
        <v>47</v>
      </c>
      <c r="H134" s="9">
        <v>29</v>
      </c>
      <c r="I134" s="9">
        <f t="shared" si="18"/>
        <v>132.1</v>
      </c>
      <c r="J134" s="9">
        <f t="shared" si="19"/>
        <v>66.05</v>
      </c>
      <c r="K134" s="8">
        <v>80.400000000000006</v>
      </c>
      <c r="L134" s="11">
        <f t="shared" si="20"/>
        <v>73.224999999999994</v>
      </c>
      <c r="M134" s="8">
        <v>5</v>
      </c>
    </row>
    <row r="135" spans="1:13">
      <c r="A135" s="7">
        <v>133</v>
      </c>
      <c r="B135" s="9" t="str">
        <f>"202"</f>
        <v>202</v>
      </c>
      <c r="C135" s="9" t="s">
        <v>191</v>
      </c>
      <c r="D135" s="9" t="str">
        <f>"孟闪辉"</f>
        <v>孟闪辉</v>
      </c>
      <c r="E135" s="9" t="str">
        <f>"2022024312"</f>
        <v>2022024312</v>
      </c>
      <c r="F135" s="10" t="s">
        <v>190</v>
      </c>
      <c r="G135" s="10" t="s">
        <v>53</v>
      </c>
      <c r="H135" s="9">
        <v>30</v>
      </c>
      <c r="I135" s="9">
        <f t="shared" si="18"/>
        <v>147.6</v>
      </c>
      <c r="J135" s="9">
        <f t="shared" si="19"/>
        <v>73.8</v>
      </c>
      <c r="K135" s="8">
        <v>82.26</v>
      </c>
      <c r="L135" s="11">
        <f t="shared" si="20"/>
        <v>78.03</v>
      </c>
      <c r="M135" s="8">
        <v>1</v>
      </c>
    </row>
    <row r="136" spans="1:13">
      <c r="A136" s="7">
        <v>134</v>
      </c>
      <c r="B136" s="9" t="str">
        <f>"202"</f>
        <v>202</v>
      </c>
      <c r="C136" s="9" t="s">
        <v>191</v>
      </c>
      <c r="D136" s="9" t="str">
        <f>"刘康康"</f>
        <v>刘康康</v>
      </c>
      <c r="E136" s="9" t="str">
        <f>"2022023030"</f>
        <v>2022023030</v>
      </c>
      <c r="F136" s="10" t="s">
        <v>192</v>
      </c>
      <c r="G136" s="10" t="s">
        <v>87</v>
      </c>
      <c r="H136" s="9">
        <v>30</v>
      </c>
      <c r="I136" s="9">
        <f t="shared" si="18"/>
        <v>137.5</v>
      </c>
      <c r="J136" s="9">
        <f t="shared" si="19"/>
        <v>68.75</v>
      </c>
      <c r="K136" s="8">
        <v>83.58</v>
      </c>
      <c r="L136" s="11">
        <f t="shared" si="20"/>
        <v>76.164999999999992</v>
      </c>
      <c r="M136" s="8">
        <v>2</v>
      </c>
    </row>
    <row r="137" spans="1:13">
      <c r="A137" s="7">
        <v>135</v>
      </c>
      <c r="B137" s="9" t="str">
        <f>"202"</f>
        <v>202</v>
      </c>
      <c r="C137" s="9" t="s">
        <v>191</v>
      </c>
      <c r="D137" s="9" t="str">
        <f>"谢妍"</f>
        <v>谢妍</v>
      </c>
      <c r="E137" s="9" t="str">
        <f>"2022022020"</f>
        <v>2022022020</v>
      </c>
      <c r="F137" s="10" t="s">
        <v>192</v>
      </c>
      <c r="G137" s="10" t="s">
        <v>47</v>
      </c>
      <c r="H137" s="9">
        <v>30</v>
      </c>
      <c r="I137" s="9">
        <f t="shared" si="18"/>
        <v>142.30000000000001</v>
      </c>
      <c r="J137" s="9">
        <f t="shared" si="19"/>
        <v>71.150000000000006</v>
      </c>
      <c r="K137" s="8">
        <v>78.2</v>
      </c>
      <c r="L137" s="11">
        <f t="shared" si="20"/>
        <v>74.675000000000011</v>
      </c>
      <c r="M137" s="8">
        <v>3</v>
      </c>
    </row>
    <row r="138" spans="1:13">
      <c r="A138" s="7">
        <v>136</v>
      </c>
      <c r="B138" s="9" t="str">
        <f>"202"</f>
        <v>202</v>
      </c>
      <c r="C138" s="9" t="s">
        <v>191</v>
      </c>
      <c r="D138" s="9" t="str">
        <f>"朱志章"</f>
        <v>朱志章</v>
      </c>
      <c r="E138" s="9" t="str">
        <f>"2022024103"</f>
        <v>2022024103</v>
      </c>
      <c r="F138" s="10" t="s">
        <v>193</v>
      </c>
      <c r="G138" s="10" t="s">
        <v>48</v>
      </c>
      <c r="H138" s="9">
        <v>28</v>
      </c>
      <c r="I138" s="9">
        <f t="shared" si="18"/>
        <v>144.80000000000001</v>
      </c>
      <c r="J138" s="9">
        <f t="shared" si="19"/>
        <v>72.400000000000006</v>
      </c>
      <c r="K138" s="8">
        <v>74.36</v>
      </c>
      <c r="L138" s="11">
        <f t="shared" si="20"/>
        <v>73.38</v>
      </c>
      <c r="M138" s="8">
        <v>4</v>
      </c>
    </row>
    <row r="139" spans="1:13">
      <c r="A139" s="7">
        <v>137</v>
      </c>
      <c r="B139" s="9" t="str">
        <f>"202"</f>
        <v>202</v>
      </c>
      <c r="C139" s="9" t="s">
        <v>191</v>
      </c>
      <c r="D139" s="9" t="str">
        <f>"张福庆"</f>
        <v>张福庆</v>
      </c>
      <c r="E139" s="9" t="str">
        <f>"2022022021"</f>
        <v>2022022021</v>
      </c>
      <c r="F139" s="10" t="s">
        <v>194</v>
      </c>
      <c r="G139" s="10" t="s">
        <v>48</v>
      </c>
      <c r="H139" s="9">
        <v>29</v>
      </c>
      <c r="I139" s="9">
        <f t="shared" si="18"/>
        <v>132.1</v>
      </c>
      <c r="J139" s="9">
        <f t="shared" si="19"/>
        <v>66.05</v>
      </c>
      <c r="K139" s="8">
        <v>80.459999999999994</v>
      </c>
      <c r="L139" s="11">
        <f t="shared" si="20"/>
        <v>73.254999999999995</v>
      </c>
      <c r="M139" s="8">
        <v>5</v>
      </c>
    </row>
    <row r="140" spans="1:13">
      <c r="A140" s="7">
        <v>138</v>
      </c>
      <c r="B140" s="9" t="str">
        <f>"203"</f>
        <v>203</v>
      </c>
      <c r="C140" s="9" t="s">
        <v>195</v>
      </c>
      <c r="D140" s="9" t="str">
        <f>"李媛"</f>
        <v>李媛</v>
      </c>
      <c r="E140" s="9" t="str">
        <f>"2022021310"</f>
        <v>2022021310</v>
      </c>
      <c r="F140" s="10" t="s">
        <v>86</v>
      </c>
      <c r="G140" s="10" t="s">
        <v>196</v>
      </c>
      <c r="H140" s="9">
        <v>30</v>
      </c>
      <c r="I140" s="9">
        <f t="shared" si="18"/>
        <v>139.80000000000001</v>
      </c>
      <c r="J140" s="9">
        <f t="shared" si="19"/>
        <v>69.900000000000006</v>
      </c>
      <c r="K140" s="8">
        <v>81.8</v>
      </c>
      <c r="L140" s="11">
        <f t="shared" si="20"/>
        <v>75.849999999999994</v>
      </c>
      <c r="M140" s="8">
        <v>1</v>
      </c>
    </row>
    <row r="141" spans="1:13">
      <c r="A141" s="7">
        <v>139</v>
      </c>
      <c r="B141" s="9" t="str">
        <f>"203"</f>
        <v>203</v>
      </c>
      <c r="C141" s="9" t="s">
        <v>195</v>
      </c>
      <c r="D141" s="9" t="str">
        <f>"张志斌"</f>
        <v>张志斌</v>
      </c>
      <c r="E141" s="9" t="str">
        <f>"2022022909"</f>
        <v>2022022909</v>
      </c>
      <c r="F141" s="10" t="s">
        <v>197</v>
      </c>
      <c r="G141" s="10" t="s">
        <v>198</v>
      </c>
      <c r="H141" s="9">
        <v>29</v>
      </c>
      <c r="I141" s="9">
        <f t="shared" si="18"/>
        <v>152</v>
      </c>
      <c r="J141" s="9">
        <f t="shared" si="19"/>
        <v>76</v>
      </c>
      <c r="K141" s="8">
        <v>75</v>
      </c>
      <c r="L141" s="11">
        <f t="shared" si="20"/>
        <v>75.5</v>
      </c>
      <c r="M141" s="8">
        <v>2</v>
      </c>
    </row>
    <row r="142" spans="1:13">
      <c r="A142" s="7">
        <v>140</v>
      </c>
      <c r="B142" s="9" t="str">
        <f>"203"</f>
        <v>203</v>
      </c>
      <c r="C142" s="9" t="s">
        <v>195</v>
      </c>
      <c r="D142" s="9" t="str">
        <f>"谢雅茹"</f>
        <v>谢雅茹</v>
      </c>
      <c r="E142" s="9" t="str">
        <f>"2022023518"</f>
        <v>2022023518</v>
      </c>
      <c r="F142" s="10" t="s">
        <v>26</v>
      </c>
      <c r="G142" s="10" t="s">
        <v>52</v>
      </c>
      <c r="H142" s="9">
        <v>28</v>
      </c>
      <c r="I142" s="9">
        <f t="shared" si="18"/>
        <v>132.4</v>
      </c>
      <c r="J142" s="9">
        <f t="shared" si="19"/>
        <v>66.2</v>
      </c>
      <c r="K142" s="8">
        <v>80</v>
      </c>
      <c r="L142" s="11">
        <f t="shared" si="20"/>
        <v>73.099999999999994</v>
      </c>
      <c r="M142" s="8">
        <v>3</v>
      </c>
    </row>
    <row r="143" spans="1:13">
      <c r="A143" s="7">
        <v>141</v>
      </c>
      <c r="B143" s="9" t="str">
        <f>"203"</f>
        <v>203</v>
      </c>
      <c r="C143" s="9" t="s">
        <v>195</v>
      </c>
      <c r="D143" s="9" t="str">
        <f>"孟佳"</f>
        <v>孟佳</v>
      </c>
      <c r="E143" s="9" t="str">
        <f>"2022021818"</f>
        <v>2022021818</v>
      </c>
      <c r="F143" s="10" t="s">
        <v>62</v>
      </c>
      <c r="G143" s="10" t="s">
        <v>70</v>
      </c>
      <c r="H143" s="9">
        <v>29</v>
      </c>
      <c r="I143" s="9">
        <f t="shared" si="18"/>
        <v>130.9</v>
      </c>
      <c r="J143" s="9">
        <f t="shared" si="19"/>
        <v>65.45</v>
      </c>
      <c r="K143" s="8">
        <v>79.2</v>
      </c>
      <c r="L143" s="11">
        <f t="shared" si="20"/>
        <v>72.325000000000003</v>
      </c>
      <c r="M143" s="8">
        <v>4</v>
      </c>
    </row>
    <row r="144" spans="1:13">
      <c r="A144" s="7">
        <v>142</v>
      </c>
      <c r="B144" s="9" t="str">
        <f>"205"</f>
        <v>205</v>
      </c>
      <c r="C144" s="9" t="s">
        <v>199</v>
      </c>
      <c r="D144" s="9" t="str">
        <f>"鹿星月"</f>
        <v>鹿星月</v>
      </c>
      <c r="E144" s="9" t="str">
        <f>"2022022830"</f>
        <v>2022022830</v>
      </c>
      <c r="F144" s="10" t="s">
        <v>110</v>
      </c>
      <c r="G144" s="10" t="s">
        <v>48</v>
      </c>
      <c r="H144" s="9">
        <v>30</v>
      </c>
      <c r="I144" s="9">
        <f t="shared" si="18"/>
        <v>132.80000000000001</v>
      </c>
      <c r="J144" s="9">
        <f t="shared" si="19"/>
        <v>66.400000000000006</v>
      </c>
      <c r="K144" s="8">
        <v>77.62</v>
      </c>
      <c r="L144" s="11">
        <f t="shared" si="20"/>
        <v>72.010000000000005</v>
      </c>
      <c r="M144" s="8">
        <v>1</v>
      </c>
    </row>
    <row r="145" spans="1:13">
      <c r="A145" s="7">
        <v>143</v>
      </c>
      <c r="B145" s="9" t="str">
        <f>"206"</f>
        <v>206</v>
      </c>
      <c r="C145" s="9" t="s">
        <v>200</v>
      </c>
      <c r="D145" s="9" t="str">
        <f>"张硕"</f>
        <v>张硕</v>
      </c>
      <c r="E145" s="9" t="str">
        <f>"2022023320"</f>
        <v>2022023320</v>
      </c>
      <c r="F145" s="10" t="s">
        <v>201</v>
      </c>
      <c r="G145" s="10" t="s">
        <v>88</v>
      </c>
      <c r="H145" s="9">
        <v>27</v>
      </c>
      <c r="I145" s="9">
        <f t="shared" si="18"/>
        <v>141</v>
      </c>
      <c r="J145" s="9">
        <f t="shared" si="19"/>
        <v>70.5</v>
      </c>
      <c r="K145" s="8">
        <v>76.02</v>
      </c>
      <c r="L145" s="11">
        <f t="shared" si="20"/>
        <v>73.259999999999991</v>
      </c>
      <c r="M145" s="8">
        <v>1</v>
      </c>
    </row>
    <row r="146" spans="1:13">
      <c r="A146" s="7">
        <v>144</v>
      </c>
      <c r="B146" s="9" t="str">
        <f>"207"</f>
        <v>207</v>
      </c>
      <c r="C146" s="9" t="s">
        <v>202</v>
      </c>
      <c r="D146" s="9" t="str">
        <f>"高娅茹"</f>
        <v>高娅茹</v>
      </c>
      <c r="E146" s="9" t="str">
        <f>"2022022716"</f>
        <v>2022022716</v>
      </c>
      <c r="F146" s="10" t="s">
        <v>148</v>
      </c>
      <c r="G146" s="10" t="s">
        <v>61</v>
      </c>
      <c r="H146" s="9">
        <v>29</v>
      </c>
      <c r="I146" s="9">
        <f t="shared" si="18"/>
        <v>137.30000000000001</v>
      </c>
      <c r="J146" s="9">
        <f t="shared" si="19"/>
        <v>68.650000000000006</v>
      </c>
      <c r="K146" s="8">
        <v>76.8</v>
      </c>
      <c r="L146" s="11">
        <f t="shared" si="20"/>
        <v>72.724999999999994</v>
      </c>
      <c r="M146" s="8">
        <v>1</v>
      </c>
    </row>
    <row r="147" spans="1:13">
      <c r="A147" s="7"/>
      <c r="B147" s="9"/>
      <c r="C147" s="9"/>
      <c r="D147" s="9"/>
      <c r="E147" s="9"/>
      <c r="F147" s="10"/>
      <c r="G147" s="10"/>
      <c r="H147" s="9"/>
      <c r="I147" s="9"/>
      <c r="J147" s="9"/>
      <c r="K147" s="8"/>
      <c r="L147" s="11"/>
      <c r="M147" s="8"/>
    </row>
  </sheetData>
  <sortState ref="A153:Q268">
    <sortCondition ref="B153:B268"/>
  </sortState>
  <mergeCells count="1">
    <mergeCell ref="A1:M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2022-03-02T01:27:03Z</cp:lastPrinted>
  <dcterms:created xsi:type="dcterms:W3CDTF">2022-02-28T23:56:07Z</dcterms:created>
  <dcterms:modified xsi:type="dcterms:W3CDTF">2022-03-03T00:01:51Z</dcterms:modified>
</cp:coreProperties>
</file>