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第二批" sheetId="1" r:id="rId1"/>
  </sheets>
  <definedNames>
    <definedName name="_xlnm._FilterDatabase" localSheetId="0" hidden="1">'第二批'!$A$2:$Z$58</definedName>
    <definedName name="_xlnm.Print_Titles" localSheetId="0">'第二批'!$2:$2</definedName>
  </definedNames>
  <calcPr fullCalcOnLoad="1"/>
</workbook>
</file>

<file path=xl/sharedStrings.xml><?xml version="1.0" encoding="utf-8"?>
<sst xmlns="http://schemas.openxmlformats.org/spreadsheetml/2006/main" count="685" uniqueCount="179">
  <si>
    <t>姓名</t>
  </si>
  <si>
    <t>准考证号</t>
  </si>
  <si>
    <t>性别</t>
  </si>
  <si>
    <t>出生年月</t>
  </si>
  <si>
    <t>毕业时间</t>
  </si>
  <si>
    <t>专业</t>
  </si>
  <si>
    <t>毕业院校</t>
  </si>
  <si>
    <t>学位</t>
  </si>
  <si>
    <t>学历</t>
  </si>
  <si>
    <t>学习类型</t>
  </si>
  <si>
    <t>女</t>
  </si>
  <si>
    <t>2016年7月</t>
  </si>
  <si>
    <t>汉语言文学</t>
  </si>
  <si>
    <t>学士</t>
  </si>
  <si>
    <t>全日制普通高校</t>
  </si>
  <si>
    <t>男</t>
  </si>
  <si>
    <t>2015年6月</t>
  </si>
  <si>
    <t>四川文理学院</t>
  </si>
  <si>
    <t>西华师范大学</t>
  </si>
  <si>
    <t>内江师范学院</t>
  </si>
  <si>
    <t>四川师范大学文理学院</t>
  </si>
  <si>
    <t>数学与应用数学</t>
  </si>
  <si>
    <t>高中数学</t>
  </si>
  <si>
    <t>2014年6月</t>
  </si>
  <si>
    <t>四川师范大学</t>
  </si>
  <si>
    <t>乐山师范学院</t>
  </si>
  <si>
    <t>1990-11-04</t>
  </si>
  <si>
    <t>盐城师范学院</t>
  </si>
  <si>
    <t>英语</t>
  </si>
  <si>
    <t>英语教育</t>
  </si>
  <si>
    <t>2016年6月</t>
  </si>
  <si>
    <t>2012年6月</t>
  </si>
  <si>
    <t>2010年6月</t>
  </si>
  <si>
    <t>内江职业技术学院</t>
  </si>
  <si>
    <t>语文教育</t>
  </si>
  <si>
    <t>初中语文</t>
  </si>
  <si>
    <t>四川职业技术学院</t>
  </si>
  <si>
    <t>汉语言文学教育</t>
  </si>
  <si>
    <t>汉语</t>
  </si>
  <si>
    <t>南充职业技术学院</t>
  </si>
  <si>
    <t>1992-05-10</t>
  </si>
  <si>
    <t>阿坝师范学院</t>
  </si>
  <si>
    <t>达州职业技术学院</t>
  </si>
  <si>
    <t>眉山职业技术学院</t>
  </si>
  <si>
    <t>广安职业技术学院</t>
  </si>
  <si>
    <t>初等教育</t>
  </si>
  <si>
    <t>1993-02-19</t>
  </si>
  <si>
    <t>2012.06</t>
  </si>
  <si>
    <t>数学教育</t>
  </si>
  <si>
    <t>初中数学</t>
  </si>
  <si>
    <t>雅安职业技术学院</t>
  </si>
  <si>
    <t>成都师范学院</t>
  </si>
  <si>
    <t>1994-11-19</t>
  </si>
  <si>
    <t>1991-02-08</t>
  </si>
  <si>
    <t>初中物理</t>
  </si>
  <si>
    <t>国民教育</t>
  </si>
  <si>
    <t>1988-09-11</t>
  </si>
  <si>
    <t>应用电子技术</t>
  </si>
  <si>
    <t>化学教育</t>
  </si>
  <si>
    <t>初中化学</t>
  </si>
  <si>
    <t>1995-12-28</t>
  </si>
  <si>
    <t>商务英语</t>
  </si>
  <si>
    <t>初中英语</t>
  </si>
  <si>
    <t>1995-06-24</t>
  </si>
  <si>
    <t>成都学院</t>
  </si>
  <si>
    <t>阿坝师范高等专科学校</t>
  </si>
  <si>
    <t>1994-04-08</t>
  </si>
  <si>
    <t>2011年6月</t>
  </si>
  <si>
    <t>1990-11-26</t>
  </si>
  <si>
    <t>长春工业大学人文信息学院</t>
  </si>
  <si>
    <t>1993-08-28</t>
  </si>
  <si>
    <t>1995-07-10</t>
  </si>
  <si>
    <t>小学英语</t>
  </si>
  <si>
    <t>四川工商学院</t>
  </si>
  <si>
    <t>1990-02-19</t>
  </si>
  <si>
    <t>成都职业技术学院</t>
  </si>
  <si>
    <t>2013.12</t>
  </si>
  <si>
    <t>初等教育（英语方向）</t>
  </si>
  <si>
    <t>川北幼儿师范高等专科学校</t>
  </si>
  <si>
    <t>1995-02-14</t>
  </si>
  <si>
    <t>四川幼儿师范高等专科学校</t>
  </si>
  <si>
    <t>1995-04-08</t>
  </si>
  <si>
    <t>西华师大</t>
  </si>
  <si>
    <t>2013年7月</t>
  </si>
  <si>
    <t>村小语数</t>
  </si>
  <si>
    <t>艺术设计</t>
  </si>
  <si>
    <t>美术教育</t>
  </si>
  <si>
    <t>四川师范大学绵阳初等教育学院</t>
  </si>
  <si>
    <t>学前教育</t>
  </si>
  <si>
    <t>1988-12-01</t>
  </si>
  <si>
    <t>游戏软件</t>
  </si>
  <si>
    <t>成都艺术职业学院</t>
  </si>
  <si>
    <t>1992-10-25</t>
  </si>
  <si>
    <t>体育教育</t>
  </si>
  <si>
    <t>工商管理</t>
  </si>
  <si>
    <t>1992-08-20</t>
  </si>
  <si>
    <t>食品质量与安全</t>
  </si>
  <si>
    <t>1991-10-11</t>
  </si>
  <si>
    <t>2013</t>
  </si>
  <si>
    <t>1993-05-19</t>
  </si>
  <si>
    <t>1991-09-19</t>
  </si>
  <si>
    <t>机械谁与制造</t>
  </si>
  <si>
    <t>四川农业大学</t>
  </si>
  <si>
    <t>环境艺术设计</t>
  </si>
  <si>
    <t>1994-06-23</t>
  </si>
  <si>
    <t>1992-10-18</t>
  </si>
  <si>
    <t>1994-12-24</t>
  </si>
  <si>
    <t>电子信息工程</t>
  </si>
  <si>
    <t>社区管理与服务</t>
  </si>
  <si>
    <t>四川管理职业学院</t>
  </si>
  <si>
    <t>1988-01-18</t>
  </si>
  <si>
    <t>1994-12-04</t>
  </si>
  <si>
    <t>1993-07-01</t>
  </si>
  <si>
    <t>1995-11-25</t>
  </si>
  <si>
    <t>1992-10-08</t>
  </si>
  <si>
    <t>小学数学</t>
  </si>
  <si>
    <t>1989-06-02</t>
  </si>
  <si>
    <t>保险实务</t>
  </si>
  <si>
    <t>1992-06-26</t>
  </si>
  <si>
    <t>广告学</t>
  </si>
  <si>
    <t>1988-11-20</t>
  </si>
  <si>
    <t>1994-10-18</t>
  </si>
  <si>
    <t>1995-10-05</t>
  </si>
  <si>
    <t>1994-03-10</t>
  </si>
  <si>
    <t>成都信息工程学院银吉酒店管理学院</t>
  </si>
  <si>
    <t>1991-09-27</t>
  </si>
  <si>
    <t>1986-04-09</t>
  </si>
  <si>
    <t>康定名族师范高等专科学校</t>
  </si>
  <si>
    <t>1991-09-25</t>
  </si>
  <si>
    <t>陕西理工学院</t>
  </si>
  <si>
    <t>1995-12-24</t>
  </si>
  <si>
    <t>1993-08-21</t>
  </si>
  <si>
    <t>四川省西昌学院轻化工程学院</t>
  </si>
  <si>
    <t>1990-08-04</t>
  </si>
  <si>
    <t>1990-12-09</t>
  </si>
  <si>
    <t>1993-09-21</t>
  </si>
  <si>
    <t>四川西华师范大学</t>
  </si>
  <si>
    <t>1993-02-16</t>
  </si>
  <si>
    <t>1989-10-07</t>
  </si>
  <si>
    <t>幼儿教师</t>
  </si>
  <si>
    <t>1992-02-12</t>
  </si>
  <si>
    <t>云南工程学院</t>
  </si>
  <si>
    <t>1995-06-10</t>
  </si>
  <si>
    <t>1995-05-13</t>
  </si>
  <si>
    <t>1989-03-29</t>
  </si>
  <si>
    <t>1994-03-22</t>
  </si>
  <si>
    <t>1993-02-17</t>
  </si>
  <si>
    <t>1994-04-15</t>
  </si>
  <si>
    <t>商务英语（学前英语教育方向）</t>
  </si>
  <si>
    <t>1990-02-07</t>
  </si>
  <si>
    <t>早期教育</t>
  </si>
  <si>
    <t>1993-02-15</t>
  </si>
  <si>
    <t>考试总成绩</t>
  </si>
  <si>
    <t>名次</t>
  </si>
  <si>
    <t>资格复审情况</t>
  </si>
  <si>
    <t>平昌县2016年上半年公开招聘中小学教师第二批拟聘人员名单</t>
  </si>
  <si>
    <t>岗位名称</t>
  </si>
  <si>
    <t>招聘单位</t>
  </si>
  <si>
    <t>岗位编码</t>
  </si>
  <si>
    <t>体检情况</t>
  </si>
  <si>
    <t>考核情况</t>
  </si>
  <si>
    <t>备注</t>
  </si>
  <si>
    <t>合格</t>
  </si>
  <si>
    <t>本科</t>
  </si>
  <si>
    <t>本科</t>
  </si>
  <si>
    <t>专科</t>
  </si>
  <si>
    <t>县城、乡镇高中</t>
  </si>
  <si>
    <t>乡镇初中</t>
  </si>
  <si>
    <t>县城、乡镇初中</t>
  </si>
  <si>
    <t>乡镇小学</t>
  </si>
  <si>
    <t>乡镇小学及县城学校附属幼儿园</t>
  </si>
  <si>
    <t>乡镇小学及县城学校附属幼儿园</t>
  </si>
  <si>
    <t>邓雁霞</t>
  </si>
  <si>
    <t>1990-10-07</t>
  </si>
  <si>
    <t>物理学</t>
  </si>
  <si>
    <t>绵阳师范学院</t>
  </si>
  <si>
    <t>1994-08-27</t>
  </si>
  <si>
    <t>（华图微博：四川华图教师）</t>
  </si>
  <si>
    <t>（微信scjsksw）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</si>
</sst>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yyyy&quot;年&quot;m&quot;月&quot;;@"/>
    <numFmt numFmtId="179" formatCode="mmm/yyyy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8"/>
      <color indexed="8"/>
      <name val="方正小标宋简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49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76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57" fontId="39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PageLayoutView="0" workbookViewId="0" topLeftCell="A1">
      <selection activeCell="A58" sqref="A58"/>
    </sheetView>
  </sheetViews>
  <sheetFormatPr defaultColWidth="9.140625" defaultRowHeight="15"/>
  <cols>
    <col min="1" max="1" width="6.8515625" style="0" customWidth="1"/>
    <col min="2" max="2" width="4.28125" style="1" customWidth="1"/>
    <col min="3" max="3" width="13.140625" style="0" customWidth="1"/>
    <col min="4" max="4" width="10.421875" style="1" customWidth="1"/>
    <col min="5" max="5" width="9.421875" style="1" customWidth="1"/>
    <col min="6" max="6" width="10.421875" style="1" customWidth="1"/>
    <col min="7" max="7" width="12.421875" style="1" customWidth="1"/>
    <col min="8" max="8" width="4.140625" style="1" customWidth="1"/>
    <col min="9" max="9" width="4.421875" style="1" customWidth="1"/>
    <col min="10" max="10" width="9.421875" style="1" customWidth="1"/>
    <col min="11" max="11" width="8.421875" style="1" customWidth="1"/>
    <col min="12" max="12" width="8.28125" style="1" customWidth="1"/>
    <col min="13" max="13" width="10.421875" style="0" customWidth="1"/>
    <col min="14" max="14" width="6.421875" style="0" customWidth="1"/>
    <col min="15" max="15" width="4.00390625" style="0" customWidth="1"/>
    <col min="16" max="16" width="6.421875" style="0" customWidth="1"/>
    <col min="17" max="17" width="4.421875" style="0" customWidth="1"/>
    <col min="18" max="18" width="4.28125" style="0" customWidth="1"/>
    <col min="19" max="19" width="2.57421875" style="0" customWidth="1"/>
  </cols>
  <sheetData>
    <row r="1" spans="1:19" ht="22.5">
      <c r="A1" s="11" t="s">
        <v>155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6" customFormat="1" ht="24">
      <c r="A2" s="9" t="s">
        <v>0</v>
      </c>
      <c r="B2" s="7" t="s">
        <v>2</v>
      </c>
      <c r="C2" s="9" t="s">
        <v>1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157</v>
      </c>
      <c r="L2" s="7" t="s">
        <v>156</v>
      </c>
      <c r="M2" s="9" t="s">
        <v>158</v>
      </c>
      <c r="N2" s="9" t="s">
        <v>152</v>
      </c>
      <c r="O2" s="9" t="s">
        <v>153</v>
      </c>
      <c r="P2" s="10" t="s">
        <v>154</v>
      </c>
      <c r="Q2" s="10" t="s">
        <v>159</v>
      </c>
      <c r="R2" s="10" t="s">
        <v>160</v>
      </c>
      <c r="S2" s="10" t="s">
        <v>161</v>
      </c>
    </row>
    <row r="3" spans="1:19" s="6" customFormat="1" ht="24">
      <c r="A3" s="2" t="str">
        <f>"蔡婷"</f>
        <v>蔡婷</v>
      </c>
      <c r="B3" s="3" t="s">
        <v>10</v>
      </c>
      <c r="C3" s="2" t="str">
        <f>"6646213011826"</f>
        <v>6646213011826</v>
      </c>
      <c r="D3" s="3" t="s">
        <v>26</v>
      </c>
      <c r="E3" s="3" t="s">
        <v>23</v>
      </c>
      <c r="F3" s="3" t="s">
        <v>21</v>
      </c>
      <c r="G3" s="3" t="s">
        <v>27</v>
      </c>
      <c r="H3" s="3" t="s">
        <v>13</v>
      </c>
      <c r="I3" s="3" t="s">
        <v>163</v>
      </c>
      <c r="J3" s="3" t="s">
        <v>14</v>
      </c>
      <c r="K3" s="3" t="s">
        <v>166</v>
      </c>
      <c r="L3" s="3" t="s">
        <v>22</v>
      </c>
      <c r="M3" s="2" t="str">
        <f>"2016050102"</f>
        <v>2016050102</v>
      </c>
      <c r="N3" s="4">
        <v>72.5</v>
      </c>
      <c r="O3" s="3">
        <v>4</v>
      </c>
      <c r="P3" s="5" t="s">
        <v>162</v>
      </c>
      <c r="Q3" s="5" t="s">
        <v>162</v>
      </c>
      <c r="R3" s="5" t="s">
        <v>162</v>
      </c>
      <c r="S3" s="3"/>
    </row>
    <row r="4" spans="1:19" s="6" customFormat="1" ht="24">
      <c r="A4" s="2" t="str">
        <f>"张红燕"</f>
        <v>张红燕</v>
      </c>
      <c r="B4" s="3" t="s">
        <v>10</v>
      </c>
      <c r="C4" s="2" t="str">
        <f>"6646213011806"</f>
        <v>6646213011806</v>
      </c>
      <c r="D4" s="3" t="s">
        <v>46</v>
      </c>
      <c r="E4" s="8">
        <v>42156</v>
      </c>
      <c r="F4" s="3" t="s">
        <v>34</v>
      </c>
      <c r="G4" s="3" t="s">
        <v>44</v>
      </c>
      <c r="H4" s="3"/>
      <c r="I4" s="3" t="s">
        <v>165</v>
      </c>
      <c r="J4" s="3" t="s">
        <v>14</v>
      </c>
      <c r="K4" s="3" t="s">
        <v>167</v>
      </c>
      <c r="L4" s="3" t="s">
        <v>35</v>
      </c>
      <c r="M4" s="2" t="str">
        <f>"2016050107"</f>
        <v>2016050107</v>
      </c>
      <c r="N4" s="4">
        <v>64</v>
      </c>
      <c r="O4" s="3">
        <v>12</v>
      </c>
      <c r="P4" s="5" t="s">
        <v>162</v>
      </c>
      <c r="Q4" s="5" t="s">
        <v>162</v>
      </c>
      <c r="R4" s="5" t="s">
        <v>162</v>
      </c>
      <c r="S4" s="3"/>
    </row>
    <row r="5" spans="1:19" s="6" customFormat="1" ht="24">
      <c r="A5" s="2" t="s">
        <v>172</v>
      </c>
      <c r="B5" s="3" t="s">
        <v>10</v>
      </c>
      <c r="C5" s="2" t="str">
        <f>"6646213011720"</f>
        <v>6646213011720</v>
      </c>
      <c r="D5" s="3" t="s">
        <v>40</v>
      </c>
      <c r="E5" s="3" t="s">
        <v>30</v>
      </c>
      <c r="F5" s="3" t="s">
        <v>34</v>
      </c>
      <c r="G5" s="3" t="s">
        <v>41</v>
      </c>
      <c r="H5" s="3"/>
      <c r="I5" s="3" t="s">
        <v>165</v>
      </c>
      <c r="J5" s="3" t="s">
        <v>14</v>
      </c>
      <c r="K5" s="3" t="s">
        <v>167</v>
      </c>
      <c r="L5" s="3" t="s">
        <v>35</v>
      </c>
      <c r="M5" s="2" t="str">
        <f>"2016050107"</f>
        <v>2016050107</v>
      </c>
      <c r="N5" s="4">
        <v>64</v>
      </c>
      <c r="O5" s="3">
        <v>13</v>
      </c>
      <c r="P5" s="5" t="s">
        <v>162</v>
      </c>
      <c r="Q5" s="5" t="s">
        <v>162</v>
      </c>
      <c r="R5" s="5" t="s">
        <v>162</v>
      </c>
      <c r="S5" s="3"/>
    </row>
    <row r="6" spans="1:19" s="6" customFormat="1" ht="24">
      <c r="A6" s="2" t="str">
        <f>"白静"</f>
        <v>白静</v>
      </c>
      <c r="B6" s="3" t="s">
        <v>10</v>
      </c>
      <c r="C6" s="2" t="str">
        <f>"6646213011914"</f>
        <v>6646213011914</v>
      </c>
      <c r="D6" s="3" t="s">
        <v>52</v>
      </c>
      <c r="E6" s="3" t="s">
        <v>30</v>
      </c>
      <c r="F6" s="3" t="s">
        <v>48</v>
      </c>
      <c r="G6" s="3" t="s">
        <v>41</v>
      </c>
      <c r="H6" s="3"/>
      <c r="I6" s="3" t="s">
        <v>165</v>
      </c>
      <c r="J6" s="3" t="s">
        <v>14</v>
      </c>
      <c r="K6" s="3" t="s">
        <v>167</v>
      </c>
      <c r="L6" s="3" t="s">
        <v>49</v>
      </c>
      <c r="M6" s="2" t="str">
        <f>"2016050108"</f>
        <v>2016050108</v>
      </c>
      <c r="N6" s="4">
        <v>66</v>
      </c>
      <c r="O6" s="3">
        <v>8</v>
      </c>
      <c r="P6" s="5" t="s">
        <v>162</v>
      </c>
      <c r="Q6" s="5" t="s">
        <v>162</v>
      </c>
      <c r="R6" s="5" t="s">
        <v>162</v>
      </c>
      <c r="S6" s="3"/>
    </row>
    <row r="7" spans="1:19" s="6" customFormat="1" ht="24">
      <c r="A7" s="2" t="str">
        <f>"袁星"</f>
        <v>袁星</v>
      </c>
      <c r="B7" s="3" t="s">
        <v>15</v>
      </c>
      <c r="C7" s="2" t="str">
        <f>"6646213011917"</f>
        <v>6646213011917</v>
      </c>
      <c r="D7" s="3" t="s">
        <v>53</v>
      </c>
      <c r="E7" s="3" t="s">
        <v>23</v>
      </c>
      <c r="F7" s="3" t="s">
        <v>48</v>
      </c>
      <c r="G7" s="3" t="s">
        <v>17</v>
      </c>
      <c r="H7" s="3"/>
      <c r="I7" s="3" t="s">
        <v>165</v>
      </c>
      <c r="J7" s="3" t="s">
        <v>14</v>
      </c>
      <c r="K7" s="3" t="s">
        <v>167</v>
      </c>
      <c r="L7" s="3" t="s">
        <v>49</v>
      </c>
      <c r="M7" s="2" t="str">
        <f>"2016050108"</f>
        <v>2016050108</v>
      </c>
      <c r="N7" s="4">
        <v>51</v>
      </c>
      <c r="O7" s="3">
        <v>17</v>
      </c>
      <c r="P7" s="5" t="s">
        <v>162</v>
      </c>
      <c r="Q7" s="5" t="s">
        <v>162</v>
      </c>
      <c r="R7" s="5" t="s">
        <v>162</v>
      </c>
      <c r="S7" s="3"/>
    </row>
    <row r="8" spans="1:19" s="6" customFormat="1" ht="21.75" customHeight="1">
      <c r="A8" s="2" t="str">
        <f>"王霞"</f>
        <v>王霞</v>
      </c>
      <c r="B8" s="2" t="s">
        <v>10</v>
      </c>
      <c r="C8" s="2" t="str">
        <f>"6646213012319"</f>
        <v>6646213012319</v>
      </c>
      <c r="D8" s="2" t="s">
        <v>173</v>
      </c>
      <c r="E8" s="2" t="s">
        <v>23</v>
      </c>
      <c r="F8" s="2" t="s">
        <v>174</v>
      </c>
      <c r="G8" s="2" t="s">
        <v>175</v>
      </c>
      <c r="H8" s="2" t="s">
        <v>13</v>
      </c>
      <c r="I8" s="2" t="s">
        <v>164</v>
      </c>
      <c r="J8" s="2" t="s">
        <v>14</v>
      </c>
      <c r="K8" s="2" t="s">
        <v>168</v>
      </c>
      <c r="L8" s="2" t="s">
        <v>54</v>
      </c>
      <c r="M8" s="2" t="str">
        <f>"2016050109"</f>
        <v>2016050109</v>
      </c>
      <c r="N8" s="4">
        <v>51</v>
      </c>
      <c r="O8" s="2">
        <v>11</v>
      </c>
      <c r="P8" s="2" t="s">
        <v>162</v>
      </c>
      <c r="Q8" s="2" t="s">
        <v>162</v>
      </c>
      <c r="R8" s="2" t="s">
        <v>162</v>
      </c>
      <c r="S8" s="3"/>
    </row>
    <row r="9" spans="1:19" s="6" customFormat="1" ht="24">
      <c r="A9" s="2" t="str">
        <f>"郑智丹"</f>
        <v>郑智丹</v>
      </c>
      <c r="B9" s="3" t="s">
        <v>10</v>
      </c>
      <c r="C9" s="2" t="str">
        <f>"6646213012322"</f>
        <v>6646213012322</v>
      </c>
      <c r="D9" s="3" t="s">
        <v>56</v>
      </c>
      <c r="E9" s="8">
        <v>40695</v>
      </c>
      <c r="F9" s="3" t="s">
        <v>57</v>
      </c>
      <c r="G9" s="3" t="s">
        <v>18</v>
      </c>
      <c r="H9" s="3" t="s">
        <v>13</v>
      </c>
      <c r="I9" s="3" t="s">
        <v>164</v>
      </c>
      <c r="J9" s="3" t="s">
        <v>14</v>
      </c>
      <c r="K9" s="3" t="s">
        <v>168</v>
      </c>
      <c r="L9" s="3" t="s">
        <v>54</v>
      </c>
      <c r="M9" s="2" t="str">
        <f>"2016050109"</f>
        <v>2016050109</v>
      </c>
      <c r="N9" s="4">
        <v>46</v>
      </c>
      <c r="O9" s="3">
        <v>15</v>
      </c>
      <c r="P9" s="5" t="s">
        <v>162</v>
      </c>
      <c r="Q9" s="5" t="s">
        <v>162</v>
      </c>
      <c r="R9" s="5" t="s">
        <v>162</v>
      </c>
      <c r="S9" s="3"/>
    </row>
    <row r="10" spans="1:19" s="6" customFormat="1" ht="24">
      <c r="A10" s="2" t="str">
        <f>"蒙明"</f>
        <v>蒙明</v>
      </c>
      <c r="B10" s="3" t="s">
        <v>10</v>
      </c>
      <c r="C10" s="2" t="str">
        <f>"6646213011624"</f>
        <v>6646213011624</v>
      </c>
      <c r="D10" s="3" t="s">
        <v>60</v>
      </c>
      <c r="E10" s="3" t="s">
        <v>30</v>
      </c>
      <c r="F10" s="3" t="s">
        <v>58</v>
      </c>
      <c r="G10" s="3" t="s">
        <v>51</v>
      </c>
      <c r="H10" s="3"/>
      <c r="I10" s="3" t="s">
        <v>165</v>
      </c>
      <c r="J10" s="3" t="s">
        <v>14</v>
      </c>
      <c r="K10" s="3" t="s">
        <v>168</v>
      </c>
      <c r="L10" s="3" t="s">
        <v>59</v>
      </c>
      <c r="M10" s="2" t="str">
        <f>"2016050110"</f>
        <v>2016050110</v>
      </c>
      <c r="N10" s="4">
        <v>68</v>
      </c>
      <c r="O10" s="3">
        <v>7</v>
      </c>
      <c r="P10" s="5" t="s">
        <v>162</v>
      </c>
      <c r="Q10" s="5" t="s">
        <v>162</v>
      </c>
      <c r="R10" s="5" t="s">
        <v>162</v>
      </c>
      <c r="S10" s="3"/>
    </row>
    <row r="11" spans="1:19" s="6" customFormat="1" ht="24">
      <c r="A11" s="2" t="str">
        <f>"王雪梅"</f>
        <v>王雪梅</v>
      </c>
      <c r="B11" s="3" t="s">
        <v>10</v>
      </c>
      <c r="C11" s="2" t="str">
        <f>"6646213012204"</f>
        <v>6646213012204</v>
      </c>
      <c r="D11" s="3" t="s">
        <v>68</v>
      </c>
      <c r="E11" s="3" t="s">
        <v>23</v>
      </c>
      <c r="F11" s="3" t="s">
        <v>61</v>
      </c>
      <c r="G11" s="3" t="s">
        <v>69</v>
      </c>
      <c r="H11" s="3" t="s">
        <v>13</v>
      </c>
      <c r="I11" s="3" t="s">
        <v>163</v>
      </c>
      <c r="J11" s="3" t="s">
        <v>14</v>
      </c>
      <c r="K11" s="3" t="s">
        <v>167</v>
      </c>
      <c r="L11" s="3" t="s">
        <v>62</v>
      </c>
      <c r="M11" s="2" t="str">
        <f>"2016050111"</f>
        <v>2016050111</v>
      </c>
      <c r="N11" s="4">
        <v>73</v>
      </c>
      <c r="O11" s="3">
        <v>12</v>
      </c>
      <c r="P11" s="5" t="s">
        <v>162</v>
      </c>
      <c r="Q11" s="5" t="s">
        <v>162</v>
      </c>
      <c r="R11" s="5" t="s">
        <v>162</v>
      </c>
      <c r="S11" s="3"/>
    </row>
    <row r="12" spans="1:19" s="6" customFormat="1" ht="24">
      <c r="A12" s="2" t="str">
        <f>"胡瑶"</f>
        <v>胡瑶</v>
      </c>
      <c r="B12" s="3" t="s">
        <v>10</v>
      </c>
      <c r="C12" s="2" t="str">
        <f>"6646213012103"</f>
        <v>6646213012103</v>
      </c>
      <c r="D12" s="3" t="s">
        <v>63</v>
      </c>
      <c r="E12" s="3" t="s">
        <v>30</v>
      </c>
      <c r="F12" s="3" t="s">
        <v>29</v>
      </c>
      <c r="G12" s="3" t="s">
        <v>25</v>
      </c>
      <c r="H12" s="3"/>
      <c r="I12" s="3" t="s">
        <v>165</v>
      </c>
      <c r="J12" s="3" t="s">
        <v>14</v>
      </c>
      <c r="K12" s="3" t="s">
        <v>167</v>
      </c>
      <c r="L12" s="3" t="s">
        <v>62</v>
      </c>
      <c r="M12" s="2" t="str">
        <f>"2016050111"</f>
        <v>2016050111</v>
      </c>
      <c r="N12" s="4">
        <v>72.5</v>
      </c>
      <c r="O12" s="3">
        <v>13</v>
      </c>
      <c r="P12" s="5" t="s">
        <v>162</v>
      </c>
      <c r="Q12" s="5" t="s">
        <v>162</v>
      </c>
      <c r="R12" s="5" t="s">
        <v>162</v>
      </c>
      <c r="S12" s="3"/>
    </row>
    <row r="13" spans="1:19" s="6" customFormat="1" ht="24">
      <c r="A13" s="2" t="str">
        <f>"林小英"</f>
        <v>林小英</v>
      </c>
      <c r="B13" s="3" t="s">
        <v>10</v>
      </c>
      <c r="C13" s="2" t="str">
        <f>"6646213011417"</f>
        <v>6646213011417</v>
      </c>
      <c r="D13" s="3" t="s">
        <v>81</v>
      </c>
      <c r="E13" s="3" t="s">
        <v>30</v>
      </c>
      <c r="F13" s="3" t="s">
        <v>29</v>
      </c>
      <c r="G13" s="3" t="s">
        <v>39</v>
      </c>
      <c r="H13" s="3"/>
      <c r="I13" s="3" t="s">
        <v>165</v>
      </c>
      <c r="J13" s="3" t="s">
        <v>14</v>
      </c>
      <c r="K13" s="3" t="s">
        <v>169</v>
      </c>
      <c r="L13" s="3" t="s">
        <v>72</v>
      </c>
      <c r="M13" s="2" t="str">
        <f>"2016050112"</f>
        <v>2016050112</v>
      </c>
      <c r="N13" s="4">
        <v>79.75</v>
      </c>
      <c r="O13" s="3">
        <v>4</v>
      </c>
      <c r="P13" s="5" t="s">
        <v>162</v>
      </c>
      <c r="Q13" s="5" t="s">
        <v>162</v>
      </c>
      <c r="R13" s="5" t="s">
        <v>162</v>
      </c>
      <c r="S13" s="3"/>
    </row>
    <row r="14" spans="1:19" s="6" customFormat="1" ht="24">
      <c r="A14" s="2" t="str">
        <f>"曾莉娟"</f>
        <v>曾莉娟</v>
      </c>
      <c r="B14" s="3" t="s">
        <v>10</v>
      </c>
      <c r="C14" s="2" t="str">
        <f>"6646213011301"</f>
        <v>6646213011301</v>
      </c>
      <c r="D14" s="3" t="s">
        <v>74</v>
      </c>
      <c r="E14" s="3" t="s">
        <v>67</v>
      </c>
      <c r="F14" s="3" t="s">
        <v>61</v>
      </c>
      <c r="G14" s="3" t="s">
        <v>75</v>
      </c>
      <c r="H14" s="3"/>
      <c r="I14" s="3" t="s">
        <v>165</v>
      </c>
      <c r="J14" s="3" t="s">
        <v>14</v>
      </c>
      <c r="K14" s="3" t="s">
        <v>169</v>
      </c>
      <c r="L14" s="3" t="s">
        <v>72</v>
      </c>
      <c r="M14" s="2" t="str">
        <f>"2016050112"</f>
        <v>2016050112</v>
      </c>
      <c r="N14" s="4">
        <v>76.5</v>
      </c>
      <c r="O14" s="3">
        <v>11</v>
      </c>
      <c r="P14" s="5" t="s">
        <v>162</v>
      </c>
      <c r="Q14" s="5" t="s">
        <v>162</v>
      </c>
      <c r="R14" s="5" t="s">
        <v>162</v>
      </c>
      <c r="S14" s="3"/>
    </row>
    <row r="15" spans="1:19" s="6" customFormat="1" ht="24">
      <c r="A15" s="2" t="str">
        <f>"陈婷"</f>
        <v>陈婷</v>
      </c>
      <c r="B15" s="3" t="s">
        <v>10</v>
      </c>
      <c r="C15" s="2" t="str">
        <f>"6646213014124"</f>
        <v>6646213014124</v>
      </c>
      <c r="D15" s="3" t="s">
        <v>104</v>
      </c>
      <c r="E15" s="3" t="s">
        <v>30</v>
      </c>
      <c r="F15" s="3" t="s">
        <v>38</v>
      </c>
      <c r="G15" s="3" t="s">
        <v>18</v>
      </c>
      <c r="H15" s="3"/>
      <c r="I15" s="3" t="s">
        <v>165</v>
      </c>
      <c r="J15" s="3" t="s">
        <v>14</v>
      </c>
      <c r="K15" s="3" t="s">
        <v>169</v>
      </c>
      <c r="L15" s="3" t="s">
        <v>84</v>
      </c>
      <c r="M15" s="2" t="str">
        <f>"2016050113"</f>
        <v>2016050113</v>
      </c>
      <c r="N15" s="4">
        <v>69</v>
      </c>
      <c r="O15" s="3">
        <v>28</v>
      </c>
      <c r="P15" s="5" t="s">
        <v>162</v>
      </c>
      <c r="Q15" s="5" t="s">
        <v>162</v>
      </c>
      <c r="R15" s="5" t="s">
        <v>162</v>
      </c>
      <c r="S15" s="3"/>
    </row>
    <row r="16" spans="1:19" s="6" customFormat="1" ht="24">
      <c r="A16" s="2" t="str">
        <f>"冯晓东"</f>
        <v>冯晓东</v>
      </c>
      <c r="B16" s="3" t="s">
        <v>15</v>
      </c>
      <c r="C16" s="2" t="str">
        <f>"6646213022127"</f>
        <v>6646213022127</v>
      </c>
      <c r="D16" s="3" t="s">
        <v>125</v>
      </c>
      <c r="E16" s="3" t="s">
        <v>23</v>
      </c>
      <c r="F16" s="3" t="s">
        <v>45</v>
      </c>
      <c r="G16" s="3" t="s">
        <v>39</v>
      </c>
      <c r="H16" s="3"/>
      <c r="I16" s="3" t="s">
        <v>165</v>
      </c>
      <c r="J16" s="3" t="s">
        <v>14</v>
      </c>
      <c r="K16" s="3" t="s">
        <v>169</v>
      </c>
      <c r="L16" s="3" t="s">
        <v>84</v>
      </c>
      <c r="M16" s="2" t="str">
        <f>"2016050113"</f>
        <v>2016050113</v>
      </c>
      <c r="N16" s="4">
        <v>66</v>
      </c>
      <c r="O16" s="3">
        <v>69</v>
      </c>
      <c r="P16" s="5" t="s">
        <v>162</v>
      </c>
      <c r="Q16" s="5" t="s">
        <v>162</v>
      </c>
      <c r="R16" s="5" t="s">
        <v>162</v>
      </c>
      <c r="S16" s="3"/>
    </row>
    <row r="17" spans="1:19" s="6" customFormat="1" ht="24">
      <c r="A17" s="2" t="str">
        <f>"潘奕君"</f>
        <v>潘奕君</v>
      </c>
      <c r="B17" s="3" t="s">
        <v>10</v>
      </c>
      <c r="C17" s="2" t="str">
        <f>"6646213020611"</f>
        <v>6646213020611</v>
      </c>
      <c r="D17" s="3" t="s">
        <v>113</v>
      </c>
      <c r="E17" s="3" t="s">
        <v>30</v>
      </c>
      <c r="F17" s="3" t="s">
        <v>34</v>
      </c>
      <c r="G17" s="3" t="s">
        <v>50</v>
      </c>
      <c r="H17" s="3"/>
      <c r="I17" s="3" t="s">
        <v>165</v>
      </c>
      <c r="J17" s="3" t="s">
        <v>14</v>
      </c>
      <c r="K17" s="3" t="s">
        <v>169</v>
      </c>
      <c r="L17" s="3" t="s">
        <v>84</v>
      </c>
      <c r="M17" s="2" t="str">
        <f aca="true" t="shared" si="0" ref="M17:M46">"2016050113"</f>
        <v>2016050113</v>
      </c>
      <c r="N17" s="4">
        <v>62.5</v>
      </c>
      <c r="O17" s="3">
        <v>149</v>
      </c>
      <c r="P17" s="5" t="s">
        <v>162</v>
      </c>
      <c r="Q17" s="5" t="s">
        <v>162</v>
      </c>
      <c r="R17" s="5" t="s">
        <v>162</v>
      </c>
      <c r="S17" s="3"/>
    </row>
    <row r="18" spans="1:19" s="6" customFormat="1" ht="24">
      <c r="A18" s="2" t="str">
        <f>"孙敏"</f>
        <v>孙敏</v>
      </c>
      <c r="B18" s="3" t="s">
        <v>10</v>
      </c>
      <c r="C18" s="2" t="str">
        <f>"6646213013404"</f>
        <v>6646213013404</v>
      </c>
      <c r="D18" s="3" t="s">
        <v>89</v>
      </c>
      <c r="E18" s="3" t="s">
        <v>67</v>
      </c>
      <c r="F18" s="3" t="s">
        <v>90</v>
      </c>
      <c r="G18" s="3" t="s">
        <v>91</v>
      </c>
      <c r="H18" s="3"/>
      <c r="I18" s="3" t="s">
        <v>165</v>
      </c>
      <c r="J18" s="3" t="s">
        <v>14</v>
      </c>
      <c r="K18" s="3" t="s">
        <v>169</v>
      </c>
      <c r="L18" s="3" t="s">
        <v>84</v>
      </c>
      <c r="M18" s="2" t="str">
        <f t="shared" si="0"/>
        <v>2016050113</v>
      </c>
      <c r="N18" s="4">
        <v>62.5</v>
      </c>
      <c r="O18" s="3">
        <v>152</v>
      </c>
      <c r="P18" s="5" t="s">
        <v>162</v>
      </c>
      <c r="Q18" s="5" t="s">
        <v>162</v>
      </c>
      <c r="R18" s="5" t="s">
        <v>162</v>
      </c>
      <c r="S18" s="3"/>
    </row>
    <row r="19" spans="1:19" s="6" customFormat="1" ht="24">
      <c r="A19" s="2" t="str">
        <f>"马秋"</f>
        <v>马秋</v>
      </c>
      <c r="B19" s="3" t="s">
        <v>10</v>
      </c>
      <c r="C19" s="2" t="str">
        <f>"6646213021213"</f>
        <v>6646213021213</v>
      </c>
      <c r="D19" s="3" t="s">
        <v>114</v>
      </c>
      <c r="E19" s="8">
        <v>41426</v>
      </c>
      <c r="F19" s="3" t="s">
        <v>117</v>
      </c>
      <c r="G19" s="3" t="s">
        <v>65</v>
      </c>
      <c r="H19" s="3"/>
      <c r="I19" s="3" t="s">
        <v>165</v>
      </c>
      <c r="J19" s="3" t="s">
        <v>14</v>
      </c>
      <c r="K19" s="3" t="s">
        <v>169</v>
      </c>
      <c r="L19" s="3" t="s">
        <v>84</v>
      </c>
      <c r="M19" s="2" t="str">
        <f t="shared" si="0"/>
        <v>2016050113</v>
      </c>
      <c r="N19" s="4">
        <v>62.5</v>
      </c>
      <c r="O19" s="3">
        <v>153</v>
      </c>
      <c r="P19" s="5" t="s">
        <v>162</v>
      </c>
      <c r="Q19" s="5" t="s">
        <v>162</v>
      </c>
      <c r="R19" s="5" t="s">
        <v>162</v>
      </c>
      <c r="S19" s="3"/>
    </row>
    <row r="20" spans="1:19" s="6" customFormat="1" ht="24">
      <c r="A20" s="2" t="str">
        <f>"侯晓云"</f>
        <v>侯晓云</v>
      </c>
      <c r="B20" s="3" t="s">
        <v>10</v>
      </c>
      <c r="C20" s="2" t="str">
        <f>"6646213022202"</f>
        <v>6646213022202</v>
      </c>
      <c r="D20" s="3" t="s">
        <v>126</v>
      </c>
      <c r="E20" s="8">
        <v>39264</v>
      </c>
      <c r="F20" s="3" t="s">
        <v>28</v>
      </c>
      <c r="G20" s="3" t="s">
        <v>127</v>
      </c>
      <c r="H20" s="3"/>
      <c r="I20" s="3" t="s">
        <v>165</v>
      </c>
      <c r="J20" s="3" t="s">
        <v>14</v>
      </c>
      <c r="K20" s="3" t="s">
        <v>169</v>
      </c>
      <c r="L20" s="3" t="s">
        <v>84</v>
      </c>
      <c r="M20" s="2" t="str">
        <f t="shared" si="0"/>
        <v>2016050113</v>
      </c>
      <c r="N20" s="4">
        <v>62.25</v>
      </c>
      <c r="O20" s="3">
        <v>154</v>
      </c>
      <c r="P20" s="5" t="s">
        <v>162</v>
      </c>
      <c r="Q20" s="5" t="s">
        <v>162</v>
      </c>
      <c r="R20" s="5" t="s">
        <v>162</v>
      </c>
      <c r="S20" s="3"/>
    </row>
    <row r="21" spans="1:19" s="6" customFormat="1" ht="24">
      <c r="A21" s="2" t="str">
        <f>"郎玲"</f>
        <v>郎玲</v>
      </c>
      <c r="B21" s="3" t="s">
        <v>10</v>
      </c>
      <c r="C21" s="2" t="str">
        <f>"6646213023404"</f>
        <v>6646213023404</v>
      </c>
      <c r="D21" s="3" t="s">
        <v>135</v>
      </c>
      <c r="E21" s="3" t="s">
        <v>30</v>
      </c>
      <c r="F21" s="3" t="s">
        <v>115</v>
      </c>
      <c r="G21" s="3" t="s">
        <v>50</v>
      </c>
      <c r="H21" s="3"/>
      <c r="I21" s="3" t="s">
        <v>165</v>
      </c>
      <c r="J21" s="3" t="s">
        <v>14</v>
      </c>
      <c r="K21" s="3" t="s">
        <v>169</v>
      </c>
      <c r="L21" s="3" t="s">
        <v>84</v>
      </c>
      <c r="M21" s="2" t="str">
        <f t="shared" si="0"/>
        <v>2016050113</v>
      </c>
      <c r="N21" s="4">
        <v>62.25</v>
      </c>
      <c r="O21" s="3">
        <v>155</v>
      </c>
      <c r="P21" s="5" t="s">
        <v>162</v>
      </c>
      <c r="Q21" s="5" t="s">
        <v>162</v>
      </c>
      <c r="R21" s="5" t="s">
        <v>162</v>
      </c>
      <c r="S21" s="3"/>
    </row>
    <row r="22" spans="1:19" s="6" customFormat="1" ht="12">
      <c r="A22" s="2" t="str">
        <f>"何俊群"</f>
        <v>何俊群</v>
      </c>
      <c r="B22" s="3" t="s">
        <v>10</v>
      </c>
      <c r="C22" s="2" t="str">
        <f>"6646213014516"</f>
        <v>6646213014516</v>
      </c>
      <c r="D22" s="3" t="s">
        <v>110</v>
      </c>
      <c r="E22" s="3" t="s">
        <v>23</v>
      </c>
      <c r="F22" s="3" t="s">
        <v>34</v>
      </c>
      <c r="G22" s="3" t="s">
        <v>18</v>
      </c>
      <c r="H22" s="3"/>
      <c r="I22" s="3" t="s">
        <v>165</v>
      </c>
      <c r="J22" s="3" t="s">
        <v>55</v>
      </c>
      <c r="K22" s="3" t="s">
        <v>169</v>
      </c>
      <c r="L22" s="3" t="s">
        <v>84</v>
      </c>
      <c r="M22" s="2" t="str">
        <f t="shared" si="0"/>
        <v>2016050113</v>
      </c>
      <c r="N22" s="4">
        <v>62.25</v>
      </c>
      <c r="O22" s="3">
        <v>157</v>
      </c>
      <c r="P22" s="5" t="s">
        <v>162</v>
      </c>
      <c r="Q22" s="5" t="s">
        <v>162</v>
      </c>
      <c r="R22" s="5" t="s">
        <v>162</v>
      </c>
      <c r="S22" s="3"/>
    </row>
    <row r="23" spans="1:19" s="6" customFormat="1" ht="24">
      <c r="A23" s="2" t="str">
        <f>"徐英"</f>
        <v>徐英</v>
      </c>
      <c r="B23" s="3" t="s">
        <v>10</v>
      </c>
      <c r="C23" s="2" t="str">
        <f>"6646213022715"</f>
        <v>6646213022715</v>
      </c>
      <c r="D23" s="3" t="s">
        <v>131</v>
      </c>
      <c r="E23" s="8">
        <v>42156</v>
      </c>
      <c r="F23" s="3" t="s">
        <v>45</v>
      </c>
      <c r="G23" s="3" t="s">
        <v>78</v>
      </c>
      <c r="H23" s="3"/>
      <c r="I23" s="3" t="s">
        <v>165</v>
      </c>
      <c r="J23" s="3" t="s">
        <v>14</v>
      </c>
      <c r="K23" s="3" t="s">
        <v>169</v>
      </c>
      <c r="L23" s="3" t="s">
        <v>84</v>
      </c>
      <c r="M23" s="2" t="str">
        <f t="shared" si="0"/>
        <v>2016050113</v>
      </c>
      <c r="N23" s="4">
        <v>62.25</v>
      </c>
      <c r="O23" s="3">
        <v>159</v>
      </c>
      <c r="P23" s="5" t="s">
        <v>162</v>
      </c>
      <c r="Q23" s="5" t="s">
        <v>162</v>
      </c>
      <c r="R23" s="5" t="s">
        <v>162</v>
      </c>
      <c r="S23" s="3"/>
    </row>
    <row r="24" spans="1:19" s="6" customFormat="1" ht="21.75" customHeight="1">
      <c r="A24" s="3" t="str">
        <f>"袁凤玲"</f>
        <v>袁凤玲</v>
      </c>
      <c r="B24" s="3" t="s">
        <v>10</v>
      </c>
      <c r="C24" s="3" t="str">
        <f>"6646213013114"</f>
        <v>6646213013114</v>
      </c>
      <c r="D24" s="3" t="s">
        <v>176</v>
      </c>
      <c r="E24" s="8">
        <v>42156</v>
      </c>
      <c r="F24" s="3" t="s">
        <v>45</v>
      </c>
      <c r="G24" s="3" t="s">
        <v>80</v>
      </c>
      <c r="H24" s="3"/>
      <c r="I24" s="3" t="s">
        <v>165</v>
      </c>
      <c r="J24" s="3" t="s">
        <v>14</v>
      </c>
      <c r="K24" s="3" t="s">
        <v>169</v>
      </c>
      <c r="L24" s="3" t="s">
        <v>84</v>
      </c>
      <c r="M24" s="3" t="str">
        <f t="shared" si="0"/>
        <v>2016050113</v>
      </c>
      <c r="N24" s="3">
        <v>62.25</v>
      </c>
      <c r="O24" s="3">
        <v>159</v>
      </c>
      <c r="P24" s="3" t="s">
        <v>162</v>
      </c>
      <c r="Q24" s="3" t="s">
        <v>162</v>
      </c>
      <c r="R24" s="5" t="s">
        <v>162</v>
      </c>
      <c r="S24" s="3"/>
    </row>
    <row r="25" spans="1:19" s="6" customFormat="1" ht="24">
      <c r="A25" s="2" t="str">
        <f>"陈婷婷"</f>
        <v>陈婷婷</v>
      </c>
      <c r="B25" s="3" t="s">
        <v>10</v>
      </c>
      <c r="C25" s="2" t="str">
        <f>"6646213022305"</f>
        <v>6646213022305</v>
      </c>
      <c r="D25" s="3" t="s">
        <v>128</v>
      </c>
      <c r="E25" s="3" t="s">
        <v>23</v>
      </c>
      <c r="F25" s="3" t="s">
        <v>94</v>
      </c>
      <c r="G25" s="3" t="s">
        <v>129</v>
      </c>
      <c r="H25" s="3" t="s">
        <v>13</v>
      </c>
      <c r="I25" s="3" t="s">
        <v>163</v>
      </c>
      <c r="J25" s="3" t="s">
        <v>14</v>
      </c>
      <c r="K25" s="3" t="s">
        <v>169</v>
      </c>
      <c r="L25" s="3" t="s">
        <v>84</v>
      </c>
      <c r="M25" s="2" t="str">
        <f t="shared" si="0"/>
        <v>2016050113</v>
      </c>
      <c r="N25" s="4">
        <v>62.25</v>
      </c>
      <c r="O25" s="3">
        <v>163</v>
      </c>
      <c r="P25" s="5" t="s">
        <v>162</v>
      </c>
      <c r="Q25" s="5" t="s">
        <v>162</v>
      </c>
      <c r="R25" s="5" t="s">
        <v>162</v>
      </c>
      <c r="S25" s="3"/>
    </row>
    <row r="26" spans="1:19" s="6" customFormat="1" ht="24">
      <c r="A26" s="2" t="str">
        <f>"谯玲"</f>
        <v>谯玲</v>
      </c>
      <c r="B26" s="3" t="s">
        <v>10</v>
      </c>
      <c r="C26" s="2" t="str">
        <f>"6646213020809"</f>
        <v>6646213020809</v>
      </c>
      <c r="D26" s="3" t="s">
        <v>106</v>
      </c>
      <c r="E26" s="8">
        <v>42186</v>
      </c>
      <c r="F26" s="3" t="s">
        <v>45</v>
      </c>
      <c r="G26" s="3" t="s">
        <v>51</v>
      </c>
      <c r="H26" s="3"/>
      <c r="I26" s="3" t="s">
        <v>165</v>
      </c>
      <c r="J26" s="3" t="s">
        <v>14</v>
      </c>
      <c r="K26" s="3" t="s">
        <v>169</v>
      </c>
      <c r="L26" s="3" t="s">
        <v>84</v>
      </c>
      <c r="M26" s="2" t="str">
        <f t="shared" si="0"/>
        <v>2016050113</v>
      </c>
      <c r="N26" s="4">
        <v>62</v>
      </c>
      <c r="O26" s="3">
        <v>165</v>
      </c>
      <c r="P26" s="5" t="s">
        <v>162</v>
      </c>
      <c r="Q26" s="5" t="s">
        <v>162</v>
      </c>
      <c r="R26" s="5" t="s">
        <v>162</v>
      </c>
      <c r="S26" s="3"/>
    </row>
    <row r="27" spans="1:19" s="6" customFormat="1" ht="24">
      <c r="A27" s="2" t="str">
        <f>"王佳"</f>
        <v>王佳</v>
      </c>
      <c r="B27" s="3" t="s">
        <v>15</v>
      </c>
      <c r="C27" s="2" t="str">
        <f>"6646213013812"</f>
        <v>6646213013812</v>
      </c>
      <c r="D27" s="3" t="s">
        <v>100</v>
      </c>
      <c r="E27" s="3" t="s">
        <v>83</v>
      </c>
      <c r="F27" s="3" t="s">
        <v>101</v>
      </c>
      <c r="G27" s="3" t="s">
        <v>33</v>
      </c>
      <c r="H27" s="3"/>
      <c r="I27" s="3" t="s">
        <v>165</v>
      </c>
      <c r="J27" s="3" t="s">
        <v>14</v>
      </c>
      <c r="K27" s="3" t="s">
        <v>169</v>
      </c>
      <c r="L27" s="3" t="s">
        <v>84</v>
      </c>
      <c r="M27" s="2" t="str">
        <f t="shared" si="0"/>
        <v>2016050113</v>
      </c>
      <c r="N27" s="4">
        <v>62</v>
      </c>
      <c r="O27" s="3">
        <v>167</v>
      </c>
      <c r="P27" s="5" t="s">
        <v>162</v>
      </c>
      <c r="Q27" s="5" t="s">
        <v>162</v>
      </c>
      <c r="R27" s="5" t="s">
        <v>162</v>
      </c>
      <c r="S27" s="3"/>
    </row>
    <row r="28" spans="1:19" s="6" customFormat="1" ht="24">
      <c r="A28" s="2" t="str">
        <f>"袁治"</f>
        <v>袁治</v>
      </c>
      <c r="B28" s="3" t="s">
        <v>15</v>
      </c>
      <c r="C28" s="2" t="str">
        <f>"6646213023405"</f>
        <v>6646213023405</v>
      </c>
      <c r="D28" s="3" t="s">
        <v>138</v>
      </c>
      <c r="E28" s="8">
        <v>42156</v>
      </c>
      <c r="F28" s="3" t="s">
        <v>119</v>
      </c>
      <c r="G28" s="3" t="s">
        <v>102</v>
      </c>
      <c r="H28" s="3" t="s">
        <v>13</v>
      </c>
      <c r="I28" s="3" t="s">
        <v>163</v>
      </c>
      <c r="J28" s="3" t="s">
        <v>14</v>
      </c>
      <c r="K28" s="3" t="s">
        <v>169</v>
      </c>
      <c r="L28" s="3" t="s">
        <v>84</v>
      </c>
      <c r="M28" s="2" t="str">
        <f t="shared" si="0"/>
        <v>2016050113</v>
      </c>
      <c r="N28" s="4">
        <v>62</v>
      </c>
      <c r="O28" s="3">
        <v>168</v>
      </c>
      <c r="P28" s="5" t="s">
        <v>162</v>
      </c>
      <c r="Q28" s="5" t="s">
        <v>162</v>
      </c>
      <c r="R28" s="5" t="s">
        <v>162</v>
      </c>
      <c r="S28" s="3"/>
    </row>
    <row r="29" spans="1:19" s="6" customFormat="1" ht="24">
      <c r="A29" s="2" t="str">
        <f>"吴明熹"</f>
        <v>吴明熹</v>
      </c>
      <c r="B29" s="3" t="s">
        <v>10</v>
      </c>
      <c r="C29" s="2" t="str">
        <f>"6646213021814"</f>
        <v>6646213021814</v>
      </c>
      <c r="D29" s="3" t="s">
        <v>120</v>
      </c>
      <c r="E29" s="3" t="s">
        <v>47</v>
      </c>
      <c r="F29" s="3" t="s">
        <v>103</v>
      </c>
      <c r="G29" s="3" t="s">
        <v>51</v>
      </c>
      <c r="H29" s="3"/>
      <c r="I29" s="3" t="s">
        <v>165</v>
      </c>
      <c r="J29" s="3" t="s">
        <v>14</v>
      </c>
      <c r="K29" s="3" t="s">
        <v>169</v>
      </c>
      <c r="L29" s="3" t="s">
        <v>84</v>
      </c>
      <c r="M29" s="2" t="str">
        <f t="shared" si="0"/>
        <v>2016050113</v>
      </c>
      <c r="N29" s="4">
        <v>62</v>
      </c>
      <c r="O29" s="3">
        <v>169</v>
      </c>
      <c r="P29" s="5" t="s">
        <v>162</v>
      </c>
      <c r="Q29" s="5" t="s">
        <v>162</v>
      </c>
      <c r="R29" s="5" t="s">
        <v>162</v>
      </c>
      <c r="S29" s="3"/>
    </row>
    <row r="30" spans="1:19" s="6" customFormat="1" ht="12">
      <c r="A30" s="2" t="str">
        <f>"吴慧娟"</f>
        <v>吴慧娟</v>
      </c>
      <c r="B30" s="3" t="s">
        <v>10</v>
      </c>
      <c r="C30" s="2" t="str">
        <f>"6646213021219"</f>
        <v>6646213021219</v>
      </c>
      <c r="D30" s="3" t="s">
        <v>92</v>
      </c>
      <c r="E30" s="3" t="s">
        <v>76</v>
      </c>
      <c r="F30" s="3" t="s">
        <v>12</v>
      </c>
      <c r="G30" s="3" t="s">
        <v>24</v>
      </c>
      <c r="H30" s="3"/>
      <c r="I30" s="3" t="s">
        <v>163</v>
      </c>
      <c r="J30" s="3" t="s">
        <v>55</v>
      </c>
      <c r="K30" s="3" t="s">
        <v>169</v>
      </c>
      <c r="L30" s="3" t="s">
        <v>84</v>
      </c>
      <c r="M30" s="2" t="str">
        <f t="shared" si="0"/>
        <v>2016050113</v>
      </c>
      <c r="N30" s="4">
        <v>61.75</v>
      </c>
      <c r="O30" s="3">
        <v>173</v>
      </c>
      <c r="P30" s="5" t="s">
        <v>162</v>
      </c>
      <c r="Q30" s="5" t="s">
        <v>162</v>
      </c>
      <c r="R30" s="5" t="s">
        <v>162</v>
      </c>
      <c r="S30" s="3"/>
    </row>
    <row r="31" spans="1:19" s="6" customFormat="1" ht="24">
      <c r="A31" s="2" t="str">
        <f>"张蓉"</f>
        <v>张蓉</v>
      </c>
      <c r="B31" s="3" t="s">
        <v>10</v>
      </c>
      <c r="C31" s="2" t="str">
        <f>"6646213022104"</f>
        <v>6646213022104</v>
      </c>
      <c r="D31" s="3" t="s">
        <v>123</v>
      </c>
      <c r="E31" s="8">
        <v>42156</v>
      </c>
      <c r="F31" s="3" t="s">
        <v>45</v>
      </c>
      <c r="G31" s="3" t="s">
        <v>24</v>
      </c>
      <c r="H31" s="3"/>
      <c r="I31" s="3" t="s">
        <v>165</v>
      </c>
      <c r="J31" s="3" t="s">
        <v>14</v>
      </c>
      <c r="K31" s="3" t="s">
        <v>169</v>
      </c>
      <c r="L31" s="3" t="s">
        <v>84</v>
      </c>
      <c r="M31" s="2" t="str">
        <f t="shared" si="0"/>
        <v>2016050113</v>
      </c>
      <c r="N31" s="4">
        <v>61.75</v>
      </c>
      <c r="O31" s="3">
        <v>174</v>
      </c>
      <c r="P31" s="5" t="s">
        <v>162</v>
      </c>
      <c r="Q31" s="5" t="s">
        <v>162</v>
      </c>
      <c r="R31" s="5" t="s">
        <v>162</v>
      </c>
      <c r="S31" s="3"/>
    </row>
    <row r="32" spans="1:19" s="6" customFormat="1" ht="24">
      <c r="A32" s="2" t="str">
        <f>"吴灵灵"</f>
        <v>吴灵灵</v>
      </c>
      <c r="B32" s="3" t="s">
        <v>10</v>
      </c>
      <c r="C32" s="2" t="str">
        <f>"6646213020401"</f>
        <v>6646213020401</v>
      </c>
      <c r="D32" s="3" t="s">
        <v>79</v>
      </c>
      <c r="E32" s="3" t="s">
        <v>30</v>
      </c>
      <c r="F32" s="3" t="s">
        <v>34</v>
      </c>
      <c r="G32" s="3" t="s">
        <v>36</v>
      </c>
      <c r="H32" s="3"/>
      <c r="I32" s="3" t="s">
        <v>165</v>
      </c>
      <c r="J32" s="3" t="s">
        <v>14</v>
      </c>
      <c r="K32" s="3" t="s">
        <v>169</v>
      </c>
      <c r="L32" s="3" t="s">
        <v>84</v>
      </c>
      <c r="M32" s="2" t="str">
        <f t="shared" si="0"/>
        <v>2016050113</v>
      </c>
      <c r="N32" s="4">
        <v>61.75</v>
      </c>
      <c r="O32" s="3">
        <v>175</v>
      </c>
      <c r="P32" s="5" t="s">
        <v>162</v>
      </c>
      <c r="Q32" s="5" t="s">
        <v>162</v>
      </c>
      <c r="R32" s="5" t="s">
        <v>162</v>
      </c>
      <c r="S32" s="3"/>
    </row>
    <row r="33" spans="1:19" s="6" customFormat="1" ht="36">
      <c r="A33" s="2" t="str">
        <f>"熊思源"</f>
        <v>熊思源</v>
      </c>
      <c r="B33" s="3" t="s">
        <v>10</v>
      </c>
      <c r="C33" s="2" t="str">
        <f>"6646213022108"</f>
        <v>6646213022108</v>
      </c>
      <c r="D33" s="3" t="s">
        <v>99</v>
      </c>
      <c r="E33" s="8">
        <v>42156</v>
      </c>
      <c r="F33" s="3" t="s">
        <v>85</v>
      </c>
      <c r="G33" s="3" t="s">
        <v>124</v>
      </c>
      <c r="H33" s="3" t="s">
        <v>13</v>
      </c>
      <c r="I33" s="3" t="s">
        <v>163</v>
      </c>
      <c r="J33" s="3" t="s">
        <v>14</v>
      </c>
      <c r="K33" s="3" t="s">
        <v>169</v>
      </c>
      <c r="L33" s="3" t="s">
        <v>84</v>
      </c>
      <c r="M33" s="2" t="str">
        <f t="shared" si="0"/>
        <v>2016050113</v>
      </c>
      <c r="N33" s="4">
        <v>61.75</v>
      </c>
      <c r="O33" s="3">
        <v>175</v>
      </c>
      <c r="P33" s="5" t="s">
        <v>162</v>
      </c>
      <c r="Q33" s="5" t="s">
        <v>162</v>
      </c>
      <c r="R33" s="5" t="s">
        <v>162</v>
      </c>
      <c r="S33" s="3"/>
    </row>
    <row r="34" spans="1:19" s="6" customFormat="1" ht="24">
      <c r="A34" s="2" t="str">
        <f>"葛庆铃"</f>
        <v>葛庆铃</v>
      </c>
      <c r="B34" s="3" t="s">
        <v>10</v>
      </c>
      <c r="C34" s="2" t="str">
        <f>"6646213022323"</f>
        <v>6646213022323</v>
      </c>
      <c r="D34" s="3" t="s">
        <v>130</v>
      </c>
      <c r="E34" s="8">
        <v>42186</v>
      </c>
      <c r="F34" s="3" t="s">
        <v>29</v>
      </c>
      <c r="G34" s="3" t="s">
        <v>39</v>
      </c>
      <c r="H34" s="3"/>
      <c r="I34" s="3" t="s">
        <v>165</v>
      </c>
      <c r="J34" s="3" t="s">
        <v>14</v>
      </c>
      <c r="K34" s="3" t="s">
        <v>169</v>
      </c>
      <c r="L34" s="3" t="s">
        <v>84</v>
      </c>
      <c r="M34" s="2" t="str">
        <f t="shared" si="0"/>
        <v>2016050113</v>
      </c>
      <c r="N34" s="4">
        <v>61.75</v>
      </c>
      <c r="O34" s="3">
        <v>178</v>
      </c>
      <c r="P34" s="5" t="s">
        <v>162</v>
      </c>
      <c r="Q34" s="5" t="s">
        <v>162</v>
      </c>
      <c r="R34" s="5" t="s">
        <v>162</v>
      </c>
      <c r="S34" s="3"/>
    </row>
    <row r="35" spans="1:19" s="6" customFormat="1" ht="24">
      <c r="A35" s="2" t="str">
        <f>"王桂芳"</f>
        <v>王桂芳</v>
      </c>
      <c r="B35" s="3" t="s">
        <v>10</v>
      </c>
      <c r="C35" s="2" t="str">
        <f>"6646213020404"</f>
        <v>6646213020404</v>
      </c>
      <c r="D35" s="3" t="s">
        <v>111</v>
      </c>
      <c r="E35" s="3" t="s">
        <v>30</v>
      </c>
      <c r="F35" s="3" t="s">
        <v>45</v>
      </c>
      <c r="G35" s="3" t="s">
        <v>51</v>
      </c>
      <c r="H35" s="3"/>
      <c r="I35" s="3" t="s">
        <v>163</v>
      </c>
      <c r="J35" s="3" t="s">
        <v>14</v>
      </c>
      <c r="K35" s="3" t="s">
        <v>169</v>
      </c>
      <c r="L35" s="3" t="s">
        <v>84</v>
      </c>
      <c r="M35" s="2" t="str">
        <f t="shared" si="0"/>
        <v>2016050113</v>
      </c>
      <c r="N35" s="4">
        <v>61.75</v>
      </c>
      <c r="O35" s="3">
        <v>180</v>
      </c>
      <c r="P35" s="5" t="s">
        <v>162</v>
      </c>
      <c r="Q35" s="5" t="s">
        <v>162</v>
      </c>
      <c r="R35" s="5" t="s">
        <v>162</v>
      </c>
      <c r="S35" s="3"/>
    </row>
    <row r="36" spans="1:19" s="6" customFormat="1" ht="12">
      <c r="A36" s="2" t="str">
        <f>"李玉菊"</f>
        <v>李玉菊</v>
      </c>
      <c r="B36" s="3" t="s">
        <v>10</v>
      </c>
      <c r="C36" s="2" t="str">
        <f>"6646213020201"</f>
        <v>6646213020201</v>
      </c>
      <c r="D36" s="3" t="s">
        <v>66</v>
      </c>
      <c r="E36" s="8">
        <v>42156</v>
      </c>
      <c r="F36" s="3" t="s">
        <v>12</v>
      </c>
      <c r="G36" s="3" t="s">
        <v>19</v>
      </c>
      <c r="H36" s="3"/>
      <c r="I36" s="3" t="s">
        <v>163</v>
      </c>
      <c r="J36" s="3" t="s">
        <v>55</v>
      </c>
      <c r="K36" s="3" t="s">
        <v>169</v>
      </c>
      <c r="L36" s="3" t="s">
        <v>84</v>
      </c>
      <c r="M36" s="2" t="str">
        <f t="shared" si="0"/>
        <v>2016050113</v>
      </c>
      <c r="N36" s="4">
        <v>61.5</v>
      </c>
      <c r="O36" s="3">
        <v>181</v>
      </c>
      <c r="P36" s="5" t="s">
        <v>162</v>
      </c>
      <c r="Q36" s="5" t="s">
        <v>162</v>
      </c>
      <c r="R36" s="5" t="s">
        <v>162</v>
      </c>
      <c r="S36" s="3"/>
    </row>
    <row r="37" spans="1:19" s="6" customFormat="1" ht="24">
      <c r="A37" s="2" t="str">
        <f>"何瑞"</f>
        <v>何瑞</v>
      </c>
      <c r="B37" s="3" t="s">
        <v>10</v>
      </c>
      <c r="C37" s="2" t="str">
        <f>"6646213021417"</f>
        <v>6646213021417</v>
      </c>
      <c r="D37" s="3" t="s">
        <v>118</v>
      </c>
      <c r="E37" s="3" t="s">
        <v>98</v>
      </c>
      <c r="F37" s="3" t="s">
        <v>117</v>
      </c>
      <c r="G37" s="3" t="s">
        <v>65</v>
      </c>
      <c r="H37" s="3"/>
      <c r="I37" s="3" t="s">
        <v>165</v>
      </c>
      <c r="J37" s="3" t="s">
        <v>14</v>
      </c>
      <c r="K37" s="3" t="s">
        <v>169</v>
      </c>
      <c r="L37" s="3" t="s">
        <v>84</v>
      </c>
      <c r="M37" s="2" t="str">
        <f t="shared" si="0"/>
        <v>2016050113</v>
      </c>
      <c r="N37" s="4">
        <v>61.5</v>
      </c>
      <c r="O37" s="3">
        <v>182</v>
      </c>
      <c r="P37" s="5" t="s">
        <v>162</v>
      </c>
      <c r="Q37" s="5" t="s">
        <v>162</v>
      </c>
      <c r="R37" s="5" t="s">
        <v>162</v>
      </c>
      <c r="S37" s="3"/>
    </row>
    <row r="38" spans="1:19" s="6" customFormat="1" ht="24">
      <c r="A38" s="2" t="str">
        <f>"谢泳江"</f>
        <v>谢泳江</v>
      </c>
      <c r="B38" s="3" t="s">
        <v>15</v>
      </c>
      <c r="C38" s="2" t="str">
        <f>"6646213023009"</f>
        <v>6646213023009</v>
      </c>
      <c r="D38" s="3" t="s">
        <v>133</v>
      </c>
      <c r="E38" s="3" t="s">
        <v>23</v>
      </c>
      <c r="F38" s="3" t="s">
        <v>107</v>
      </c>
      <c r="G38" s="3" t="s">
        <v>73</v>
      </c>
      <c r="H38" s="3" t="s">
        <v>13</v>
      </c>
      <c r="I38" s="3" t="s">
        <v>163</v>
      </c>
      <c r="J38" s="3" t="s">
        <v>14</v>
      </c>
      <c r="K38" s="3" t="s">
        <v>169</v>
      </c>
      <c r="L38" s="3" t="s">
        <v>84</v>
      </c>
      <c r="M38" s="2" t="str">
        <f t="shared" si="0"/>
        <v>2016050113</v>
      </c>
      <c r="N38" s="4">
        <v>61.25</v>
      </c>
      <c r="O38" s="3">
        <v>187</v>
      </c>
      <c r="P38" s="5" t="s">
        <v>162</v>
      </c>
      <c r="Q38" s="5" t="s">
        <v>162</v>
      </c>
      <c r="R38" s="5" t="s">
        <v>162</v>
      </c>
      <c r="S38" s="3"/>
    </row>
    <row r="39" spans="1:19" s="6" customFormat="1" ht="24">
      <c r="A39" s="2" t="str">
        <f>"夏绫"</f>
        <v>夏绫</v>
      </c>
      <c r="B39" s="3" t="s">
        <v>10</v>
      </c>
      <c r="C39" s="2" t="str">
        <f>"6646213021205"</f>
        <v>6646213021205</v>
      </c>
      <c r="D39" s="3" t="s">
        <v>116</v>
      </c>
      <c r="E39" s="3" t="s">
        <v>67</v>
      </c>
      <c r="F39" s="3" t="s">
        <v>108</v>
      </c>
      <c r="G39" s="3" t="s">
        <v>109</v>
      </c>
      <c r="H39" s="3"/>
      <c r="I39" s="3" t="s">
        <v>165</v>
      </c>
      <c r="J39" s="3" t="s">
        <v>14</v>
      </c>
      <c r="K39" s="3" t="s">
        <v>169</v>
      </c>
      <c r="L39" s="3" t="s">
        <v>84</v>
      </c>
      <c r="M39" s="2" t="str">
        <f t="shared" si="0"/>
        <v>2016050113</v>
      </c>
      <c r="N39" s="4">
        <v>61.25</v>
      </c>
      <c r="O39" s="3">
        <v>188</v>
      </c>
      <c r="P39" s="5" t="s">
        <v>162</v>
      </c>
      <c r="Q39" s="5" t="s">
        <v>162</v>
      </c>
      <c r="R39" s="5" t="s">
        <v>162</v>
      </c>
      <c r="S39" s="3"/>
    </row>
    <row r="40" spans="1:19" s="6" customFormat="1" ht="24">
      <c r="A40" s="2" t="str">
        <f>"王保钧"</f>
        <v>王保钧</v>
      </c>
      <c r="B40" s="3" t="s">
        <v>15</v>
      </c>
      <c r="C40" s="2" t="str">
        <f>"6646213021426"</f>
        <v>6646213021426</v>
      </c>
      <c r="D40" s="3" t="s">
        <v>70</v>
      </c>
      <c r="E40" s="3" t="s">
        <v>30</v>
      </c>
      <c r="F40" s="3" t="s">
        <v>48</v>
      </c>
      <c r="G40" s="3" t="s">
        <v>78</v>
      </c>
      <c r="H40" s="3"/>
      <c r="I40" s="3" t="s">
        <v>165</v>
      </c>
      <c r="J40" s="3" t="s">
        <v>14</v>
      </c>
      <c r="K40" s="3" t="s">
        <v>169</v>
      </c>
      <c r="L40" s="3" t="s">
        <v>84</v>
      </c>
      <c r="M40" s="2" t="str">
        <f t="shared" si="0"/>
        <v>2016050113</v>
      </c>
      <c r="N40" s="4">
        <v>61.25</v>
      </c>
      <c r="O40" s="3">
        <v>189</v>
      </c>
      <c r="P40" s="5" t="s">
        <v>162</v>
      </c>
      <c r="Q40" s="5" t="s">
        <v>162</v>
      </c>
      <c r="R40" s="5" t="s">
        <v>162</v>
      </c>
      <c r="S40" s="3"/>
    </row>
    <row r="41" spans="1:19" s="6" customFormat="1" ht="12">
      <c r="A41" s="2" t="str">
        <f>"曾娟"</f>
        <v>曾娟</v>
      </c>
      <c r="B41" s="3" t="s">
        <v>10</v>
      </c>
      <c r="C41" s="2" t="str">
        <f>"6646213023103"</f>
        <v>6646213023103</v>
      </c>
      <c r="D41" s="3" t="s">
        <v>134</v>
      </c>
      <c r="E41" s="3" t="s">
        <v>31</v>
      </c>
      <c r="F41" s="3" t="s">
        <v>34</v>
      </c>
      <c r="G41" s="3" t="s">
        <v>24</v>
      </c>
      <c r="H41" s="3"/>
      <c r="I41" s="3" t="s">
        <v>163</v>
      </c>
      <c r="J41" s="3" t="s">
        <v>55</v>
      </c>
      <c r="K41" s="3" t="s">
        <v>169</v>
      </c>
      <c r="L41" s="3" t="s">
        <v>84</v>
      </c>
      <c r="M41" s="2" t="str">
        <f t="shared" si="0"/>
        <v>2016050113</v>
      </c>
      <c r="N41" s="4">
        <v>61.25</v>
      </c>
      <c r="O41" s="3">
        <v>190</v>
      </c>
      <c r="P41" s="5" t="s">
        <v>162</v>
      </c>
      <c r="Q41" s="5" t="s">
        <v>162</v>
      </c>
      <c r="R41" s="5" t="s">
        <v>162</v>
      </c>
      <c r="S41" s="3"/>
    </row>
    <row r="42" spans="1:19" s="6" customFormat="1" ht="24">
      <c r="A42" s="2" t="str">
        <f>"苟海"</f>
        <v>苟海</v>
      </c>
      <c r="B42" s="3" t="s">
        <v>10</v>
      </c>
      <c r="C42" s="2" t="str">
        <f>"6646213022913"</f>
        <v>6646213022913</v>
      </c>
      <c r="D42" s="3" t="s">
        <v>105</v>
      </c>
      <c r="E42" s="8">
        <v>42156</v>
      </c>
      <c r="F42" s="3" t="s">
        <v>96</v>
      </c>
      <c r="G42" s="3" t="s">
        <v>132</v>
      </c>
      <c r="H42" s="3" t="s">
        <v>13</v>
      </c>
      <c r="I42" s="3" t="s">
        <v>163</v>
      </c>
      <c r="J42" s="3" t="s">
        <v>14</v>
      </c>
      <c r="K42" s="3" t="s">
        <v>169</v>
      </c>
      <c r="L42" s="3" t="s">
        <v>84</v>
      </c>
      <c r="M42" s="2" t="str">
        <f t="shared" si="0"/>
        <v>2016050113</v>
      </c>
      <c r="N42" s="4">
        <v>61.25</v>
      </c>
      <c r="O42" s="3">
        <v>191</v>
      </c>
      <c r="P42" s="5" t="s">
        <v>162</v>
      </c>
      <c r="Q42" s="5" t="s">
        <v>162</v>
      </c>
      <c r="R42" s="5" t="s">
        <v>162</v>
      </c>
      <c r="S42" s="3"/>
    </row>
    <row r="43" spans="1:19" s="6" customFormat="1" ht="24">
      <c r="A43" s="2" t="str">
        <f>"岳雪芹"</f>
        <v>岳雪芹</v>
      </c>
      <c r="B43" s="3" t="s">
        <v>10</v>
      </c>
      <c r="C43" s="2" t="str">
        <f>"6646213014128"</f>
        <v>6646213014128</v>
      </c>
      <c r="D43" s="3" t="s">
        <v>95</v>
      </c>
      <c r="E43" s="8">
        <v>42339</v>
      </c>
      <c r="F43" s="3" t="s">
        <v>37</v>
      </c>
      <c r="G43" s="3" t="s">
        <v>18</v>
      </c>
      <c r="H43" s="3"/>
      <c r="I43" s="3" t="s">
        <v>163</v>
      </c>
      <c r="J43" s="3" t="s">
        <v>55</v>
      </c>
      <c r="K43" s="3" t="s">
        <v>169</v>
      </c>
      <c r="L43" s="3" t="s">
        <v>84</v>
      </c>
      <c r="M43" s="2" t="str">
        <f t="shared" si="0"/>
        <v>2016050113</v>
      </c>
      <c r="N43" s="4">
        <v>61.25</v>
      </c>
      <c r="O43" s="3">
        <v>193</v>
      </c>
      <c r="P43" s="5" t="s">
        <v>162</v>
      </c>
      <c r="Q43" s="5" t="s">
        <v>162</v>
      </c>
      <c r="R43" s="5" t="s">
        <v>162</v>
      </c>
      <c r="S43" s="3"/>
    </row>
    <row r="44" spans="1:19" s="6" customFormat="1" ht="12">
      <c r="A44" s="2" t="str">
        <f>"王红英"</f>
        <v>王红英</v>
      </c>
      <c r="B44" s="3" t="s">
        <v>10</v>
      </c>
      <c r="C44" s="2" t="str">
        <f>"6646213020412"</f>
        <v>6646213020412</v>
      </c>
      <c r="D44" s="3" t="s">
        <v>112</v>
      </c>
      <c r="E44" s="3" t="s">
        <v>67</v>
      </c>
      <c r="F44" s="3" t="s">
        <v>12</v>
      </c>
      <c r="G44" s="3" t="s">
        <v>82</v>
      </c>
      <c r="H44" s="3"/>
      <c r="I44" s="3" t="s">
        <v>165</v>
      </c>
      <c r="J44" s="3" t="s">
        <v>55</v>
      </c>
      <c r="K44" s="3" t="s">
        <v>169</v>
      </c>
      <c r="L44" s="3" t="s">
        <v>84</v>
      </c>
      <c r="M44" s="2" t="str">
        <f t="shared" si="0"/>
        <v>2016050113</v>
      </c>
      <c r="N44" s="4">
        <v>61.25</v>
      </c>
      <c r="O44" s="3">
        <v>194</v>
      </c>
      <c r="P44" s="5" t="s">
        <v>162</v>
      </c>
      <c r="Q44" s="5" t="s">
        <v>162</v>
      </c>
      <c r="R44" s="5" t="s">
        <v>162</v>
      </c>
      <c r="S44" s="3"/>
    </row>
    <row r="45" spans="1:19" s="6" customFormat="1" ht="12">
      <c r="A45" s="2" t="str">
        <f>"李勤"</f>
        <v>李勤</v>
      </c>
      <c r="B45" s="3" t="s">
        <v>10</v>
      </c>
      <c r="C45" s="2" t="str">
        <f>"6646213021825"</f>
        <v>6646213021825</v>
      </c>
      <c r="D45" s="3" t="s">
        <v>121</v>
      </c>
      <c r="E45" s="8">
        <v>41791</v>
      </c>
      <c r="F45" s="3" t="s">
        <v>34</v>
      </c>
      <c r="G45" s="3" t="s">
        <v>18</v>
      </c>
      <c r="H45" s="3"/>
      <c r="I45" s="3" t="s">
        <v>165</v>
      </c>
      <c r="J45" s="3" t="s">
        <v>55</v>
      </c>
      <c r="K45" s="3" t="s">
        <v>169</v>
      </c>
      <c r="L45" s="3" t="s">
        <v>84</v>
      </c>
      <c r="M45" s="2" t="str">
        <f t="shared" si="0"/>
        <v>2016050113</v>
      </c>
      <c r="N45" s="4">
        <v>61.25</v>
      </c>
      <c r="O45" s="3">
        <v>195</v>
      </c>
      <c r="P45" s="5" t="s">
        <v>162</v>
      </c>
      <c r="Q45" s="5" t="s">
        <v>162</v>
      </c>
      <c r="R45" s="5" t="s">
        <v>162</v>
      </c>
      <c r="S45" s="3"/>
    </row>
    <row r="46" spans="1:19" s="6" customFormat="1" ht="24">
      <c r="A46" s="2" t="str">
        <f>"李阳"</f>
        <v>李阳</v>
      </c>
      <c r="B46" s="3" t="s">
        <v>15</v>
      </c>
      <c r="C46" s="2" t="str">
        <f>"6646213013708"</f>
        <v>6646213013708</v>
      </c>
      <c r="D46" s="3" t="s">
        <v>97</v>
      </c>
      <c r="E46" s="8">
        <v>41426</v>
      </c>
      <c r="F46" s="3" t="s">
        <v>93</v>
      </c>
      <c r="G46" s="3" t="s">
        <v>65</v>
      </c>
      <c r="H46" s="3"/>
      <c r="I46" s="3" t="s">
        <v>165</v>
      </c>
      <c r="J46" s="3" t="s">
        <v>14</v>
      </c>
      <c r="K46" s="3" t="s">
        <v>169</v>
      </c>
      <c r="L46" s="3" t="s">
        <v>84</v>
      </c>
      <c r="M46" s="2" t="str">
        <f t="shared" si="0"/>
        <v>2016050113</v>
      </c>
      <c r="N46" s="4">
        <v>61.25</v>
      </c>
      <c r="O46" s="3">
        <v>196</v>
      </c>
      <c r="P46" s="5" t="s">
        <v>162</v>
      </c>
      <c r="Q46" s="5" t="s">
        <v>162</v>
      </c>
      <c r="R46" s="5" t="s">
        <v>162</v>
      </c>
      <c r="S46" s="3"/>
    </row>
    <row r="47" spans="1:19" s="6" customFormat="1" ht="48">
      <c r="A47" s="2" t="str">
        <f>"向慧萍"</f>
        <v>向慧萍</v>
      </c>
      <c r="B47" s="3" t="s">
        <v>10</v>
      </c>
      <c r="C47" s="2" t="str">
        <f>"6646213013103"</f>
        <v>6646213013103</v>
      </c>
      <c r="D47" s="3" t="s">
        <v>151</v>
      </c>
      <c r="E47" s="3" t="s">
        <v>11</v>
      </c>
      <c r="F47" s="3" t="s">
        <v>88</v>
      </c>
      <c r="G47" s="3" t="s">
        <v>64</v>
      </c>
      <c r="H47" s="3" t="s">
        <v>13</v>
      </c>
      <c r="I47" s="3" t="s">
        <v>163</v>
      </c>
      <c r="J47" s="3" t="s">
        <v>14</v>
      </c>
      <c r="K47" s="3" t="s">
        <v>170</v>
      </c>
      <c r="L47" s="3" t="s">
        <v>139</v>
      </c>
      <c r="M47" s="2" t="str">
        <f>"2016050114"</f>
        <v>2016050114</v>
      </c>
      <c r="N47" s="4">
        <v>73</v>
      </c>
      <c r="O47" s="3">
        <v>3</v>
      </c>
      <c r="P47" s="5" t="s">
        <v>162</v>
      </c>
      <c r="Q47" s="5" t="s">
        <v>162</v>
      </c>
      <c r="R47" s="5" t="s">
        <v>162</v>
      </c>
      <c r="S47" s="3"/>
    </row>
    <row r="48" spans="1:19" s="6" customFormat="1" ht="48">
      <c r="A48" s="2" t="str">
        <f>"何春"</f>
        <v>何春</v>
      </c>
      <c r="B48" s="3" t="s">
        <v>10</v>
      </c>
      <c r="C48" s="2" t="str">
        <f>"6646213012630"</f>
        <v>6646213012630</v>
      </c>
      <c r="D48" s="3" t="s">
        <v>137</v>
      </c>
      <c r="E48" s="3" t="s">
        <v>16</v>
      </c>
      <c r="F48" s="3" t="s">
        <v>88</v>
      </c>
      <c r="G48" s="3" t="s">
        <v>50</v>
      </c>
      <c r="H48" s="3"/>
      <c r="I48" s="3" t="s">
        <v>165</v>
      </c>
      <c r="J48" s="3" t="s">
        <v>14</v>
      </c>
      <c r="K48" s="3" t="s">
        <v>170</v>
      </c>
      <c r="L48" s="3" t="s">
        <v>139</v>
      </c>
      <c r="M48" s="2" t="str">
        <f aca="true" t="shared" si="1" ref="M48:M58">"2016050114"</f>
        <v>2016050114</v>
      </c>
      <c r="N48" s="4">
        <v>60</v>
      </c>
      <c r="O48" s="3">
        <v>51</v>
      </c>
      <c r="P48" s="5" t="s">
        <v>162</v>
      </c>
      <c r="Q48" s="5" t="s">
        <v>162</v>
      </c>
      <c r="R48" s="5" t="s">
        <v>162</v>
      </c>
      <c r="S48" s="3"/>
    </row>
    <row r="49" spans="1:19" s="6" customFormat="1" ht="48">
      <c r="A49" s="2" t="str">
        <f>"魏丽娟"</f>
        <v>魏丽娟</v>
      </c>
      <c r="B49" s="3" t="s">
        <v>10</v>
      </c>
      <c r="C49" s="2" t="str">
        <f>"6646213012604"</f>
        <v>6646213012604</v>
      </c>
      <c r="D49" s="3" t="s">
        <v>71</v>
      </c>
      <c r="E49" s="3" t="s">
        <v>16</v>
      </c>
      <c r="F49" s="3" t="s">
        <v>88</v>
      </c>
      <c r="G49" s="3" t="s">
        <v>18</v>
      </c>
      <c r="H49" s="3"/>
      <c r="I49" s="3" t="s">
        <v>165</v>
      </c>
      <c r="J49" s="3" t="s">
        <v>14</v>
      </c>
      <c r="K49" s="3" t="s">
        <v>170</v>
      </c>
      <c r="L49" s="3" t="s">
        <v>139</v>
      </c>
      <c r="M49" s="2" t="str">
        <f t="shared" si="1"/>
        <v>2016050114</v>
      </c>
      <c r="N49" s="4">
        <v>59.5</v>
      </c>
      <c r="O49" s="3">
        <v>54</v>
      </c>
      <c r="P49" s="5" t="s">
        <v>162</v>
      </c>
      <c r="Q49" s="5" t="s">
        <v>162</v>
      </c>
      <c r="R49" s="5" t="s">
        <v>162</v>
      </c>
      <c r="S49" s="3"/>
    </row>
    <row r="50" spans="1:19" s="6" customFormat="1" ht="48">
      <c r="A50" s="2" t="str">
        <f>"邹溆虹"</f>
        <v>邹溆虹</v>
      </c>
      <c r="B50" s="3" t="s">
        <v>10</v>
      </c>
      <c r="C50" s="2" t="str">
        <f>"6646213012914"</f>
        <v>6646213012914</v>
      </c>
      <c r="D50" s="3" t="s">
        <v>122</v>
      </c>
      <c r="E50" s="8">
        <v>41791</v>
      </c>
      <c r="F50" s="3" t="s">
        <v>148</v>
      </c>
      <c r="G50" s="3" t="s">
        <v>20</v>
      </c>
      <c r="H50" s="3"/>
      <c r="I50" s="3" t="s">
        <v>165</v>
      </c>
      <c r="J50" s="3" t="s">
        <v>14</v>
      </c>
      <c r="K50" s="3" t="s">
        <v>171</v>
      </c>
      <c r="L50" s="3" t="s">
        <v>139</v>
      </c>
      <c r="M50" s="2" t="str">
        <f t="shared" si="1"/>
        <v>2016050114</v>
      </c>
      <c r="N50" s="4">
        <v>59</v>
      </c>
      <c r="O50" s="3">
        <v>61</v>
      </c>
      <c r="P50" s="5" t="s">
        <v>162</v>
      </c>
      <c r="Q50" s="5" t="s">
        <v>162</v>
      </c>
      <c r="R50" s="5" t="s">
        <v>162</v>
      </c>
      <c r="S50" s="3"/>
    </row>
    <row r="51" spans="1:19" s="6" customFormat="1" ht="48">
      <c r="A51" s="2" t="str">
        <f>"宋雨竹"</f>
        <v>宋雨竹</v>
      </c>
      <c r="B51" s="3" t="s">
        <v>10</v>
      </c>
      <c r="C51" s="2" t="str">
        <f>"6646213012523"</f>
        <v>6646213012523</v>
      </c>
      <c r="D51" s="3" t="s">
        <v>143</v>
      </c>
      <c r="E51" s="3" t="s">
        <v>30</v>
      </c>
      <c r="F51" s="3" t="s">
        <v>88</v>
      </c>
      <c r="G51" s="3" t="s">
        <v>78</v>
      </c>
      <c r="H51" s="3"/>
      <c r="I51" s="3" t="s">
        <v>165</v>
      </c>
      <c r="J51" s="3" t="s">
        <v>14</v>
      </c>
      <c r="K51" s="3" t="s">
        <v>170</v>
      </c>
      <c r="L51" s="3" t="s">
        <v>139</v>
      </c>
      <c r="M51" s="2" t="str">
        <f t="shared" si="1"/>
        <v>2016050114</v>
      </c>
      <c r="N51" s="4">
        <v>58.5</v>
      </c>
      <c r="O51" s="3">
        <v>62</v>
      </c>
      <c r="P51" s="5" t="s">
        <v>162</v>
      </c>
      <c r="Q51" s="5" t="s">
        <v>162</v>
      </c>
      <c r="R51" s="5" t="s">
        <v>162</v>
      </c>
      <c r="S51" s="3"/>
    </row>
    <row r="52" spans="1:19" s="6" customFormat="1" ht="48">
      <c r="A52" s="2" t="str">
        <f>"付青青"</f>
        <v>付青青</v>
      </c>
      <c r="B52" s="3" t="s">
        <v>10</v>
      </c>
      <c r="C52" s="2" t="str">
        <f>"6646213012818"</f>
        <v>6646213012818</v>
      </c>
      <c r="D52" s="3" t="s">
        <v>146</v>
      </c>
      <c r="E52" s="8">
        <v>41791</v>
      </c>
      <c r="F52" s="3" t="s">
        <v>88</v>
      </c>
      <c r="G52" s="3" t="s">
        <v>42</v>
      </c>
      <c r="H52" s="3"/>
      <c r="I52" s="3" t="s">
        <v>165</v>
      </c>
      <c r="J52" s="3" t="s">
        <v>14</v>
      </c>
      <c r="K52" s="3" t="s">
        <v>170</v>
      </c>
      <c r="L52" s="3" t="s">
        <v>139</v>
      </c>
      <c r="M52" s="2" t="str">
        <f t="shared" si="1"/>
        <v>2016050114</v>
      </c>
      <c r="N52" s="4">
        <v>58.5</v>
      </c>
      <c r="O52" s="3">
        <v>64</v>
      </c>
      <c r="P52" s="5" t="s">
        <v>162</v>
      </c>
      <c r="Q52" s="5" t="s">
        <v>162</v>
      </c>
      <c r="R52" s="5" t="s">
        <v>162</v>
      </c>
      <c r="S52" s="3"/>
    </row>
    <row r="53" spans="1:19" s="6" customFormat="1" ht="48">
      <c r="A53" s="2" t="str">
        <f>"何智才"</f>
        <v>何智才</v>
      </c>
      <c r="B53" s="3" t="s">
        <v>10</v>
      </c>
      <c r="C53" s="2" t="str">
        <f>"6646213012418"</f>
        <v>6646213012418</v>
      </c>
      <c r="D53" s="3" t="s">
        <v>140</v>
      </c>
      <c r="E53" s="3" t="s">
        <v>83</v>
      </c>
      <c r="F53" s="3" t="s">
        <v>88</v>
      </c>
      <c r="G53" s="3" t="s">
        <v>141</v>
      </c>
      <c r="H53" s="3"/>
      <c r="I53" s="3" t="s">
        <v>163</v>
      </c>
      <c r="J53" s="3" t="s">
        <v>14</v>
      </c>
      <c r="K53" s="3" t="s">
        <v>170</v>
      </c>
      <c r="L53" s="3" t="s">
        <v>139</v>
      </c>
      <c r="M53" s="2" t="str">
        <f t="shared" si="1"/>
        <v>2016050114</v>
      </c>
      <c r="N53" s="4">
        <v>58.5</v>
      </c>
      <c r="O53" s="3">
        <v>65</v>
      </c>
      <c r="P53" s="5" t="s">
        <v>162</v>
      </c>
      <c r="Q53" s="5" t="s">
        <v>162</v>
      </c>
      <c r="R53" s="5" t="s">
        <v>162</v>
      </c>
      <c r="S53" s="3"/>
    </row>
    <row r="54" spans="1:19" s="6" customFormat="1" ht="48">
      <c r="A54" s="2" t="str">
        <f>"陈华琼"</f>
        <v>陈华琼</v>
      </c>
      <c r="B54" s="3" t="s">
        <v>10</v>
      </c>
      <c r="C54" s="2" t="str">
        <f>"6646213013017"</f>
        <v>6646213013017</v>
      </c>
      <c r="D54" s="3" t="s">
        <v>149</v>
      </c>
      <c r="E54" s="3" t="s">
        <v>31</v>
      </c>
      <c r="F54" s="3" t="s">
        <v>150</v>
      </c>
      <c r="G54" s="3" t="s">
        <v>51</v>
      </c>
      <c r="H54" s="3"/>
      <c r="I54" s="3" t="s">
        <v>163</v>
      </c>
      <c r="J54" s="3" t="s">
        <v>14</v>
      </c>
      <c r="K54" s="3" t="s">
        <v>170</v>
      </c>
      <c r="L54" s="3" t="s">
        <v>139</v>
      </c>
      <c r="M54" s="2" t="str">
        <f t="shared" si="1"/>
        <v>2016050114</v>
      </c>
      <c r="N54" s="4">
        <v>58</v>
      </c>
      <c r="O54" s="3">
        <v>67</v>
      </c>
      <c r="P54" s="5" t="s">
        <v>162</v>
      </c>
      <c r="Q54" s="5" t="s">
        <v>162</v>
      </c>
      <c r="R54" s="5" t="s">
        <v>162</v>
      </c>
      <c r="S54" s="3"/>
    </row>
    <row r="55" spans="1:19" s="6" customFormat="1" ht="48">
      <c r="A55" s="2" t="str">
        <f>"袁青青"</f>
        <v>袁青青</v>
      </c>
      <c r="B55" s="3" t="s">
        <v>10</v>
      </c>
      <c r="C55" s="2" t="str">
        <f>"6646213012912"</f>
        <v>6646213012912</v>
      </c>
      <c r="D55" s="3" t="s">
        <v>147</v>
      </c>
      <c r="E55" s="8">
        <v>42522</v>
      </c>
      <c r="F55" s="3" t="s">
        <v>88</v>
      </c>
      <c r="G55" s="3" t="s">
        <v>43</v>
      </c>
      <c r="H55" s="3"/>
      <c r="I55" s="3" t="s">
        <v>165</v>
      </c>
      <c r="J55" s="3" t="s">
        <v>14</v>
      </c>
      <c r="K55" s="3" t="s">
        <v>170</v>
      </c>
      <c r="L55" s="3" t="s">
        <v>139</v>
      </c>
      <c r="M55" s="2" t="str">
        <f t="shared" si="1"/>
        <v>2016050114</v>
      </c>
      <c r="N55" s="4">
        <v>57.5</v>
      </c>
      <c r="O55" s="3">
        <v>71</v>
      </c>
      <c r="P55" s="5" t="s">
        <v>162</v>
      </c>
      <c r="Q55" s="5" t="s">
        <v>162</v>
      </c>
      <c r="R55" s="5" t="s">
        <v>162</v>
      </c>
      <c r="S55" s="3"/>
    </row>
    <row r="56" spans="1:19" s="6" customFormat="1" ht="48">
      <c r="A56" s="2" t="str">
        <f>"李梦丽"</f>
        <v>李梦丽</v>
      </c>
      <c r="B56" s="3" t="s">
        <v>10</v>
      </c>
      <c r="C56" s="2" t="str">
        <f>"6646213012806"</f>
        <v>6646213012806</v>
      </c>
      <c r="D56" s="3" t="s">
        <v>145</v>
      </c>
      <c r="E56" s="8">
        <v>42186</v>
      </c>
      <c r="F56" s="3" t="s">
        <v>86</v>
      </c>
      <c r="G56" s="3" t="s">
        <v>80</v>
      </c>
      <c r="H56" s="3"/>
      <c r="I56" s="3" t="s">
        <v>165</v>
      </c>
      <c r="J56" s="3" t="s">
        <v>14</v>
      </c>
      <c r="K56" s="3" t="s">
        <v>170</v>
      </c>
      <c r="L56" s="3" t="s">
        <v>139</v>
      </c>
      <c r="M56" s="2" t="str">
        <f t="shared" si="1"/>
        <v>2016050114</v>
      </c>
      <c r="N56" s="4">
        <v>57.25</v>
      </c>
      <c r="O56" s="3">
        <v>72</v>
      </c>
      <c r="P56" s="5" t="s">
        <v>162</v>
      </c>
      <c r="Q56" s="5" t="s">
        <v>162</v>
      </c>
      <c r="R56" s="5" t="s">
        <v>162</v>
      </c>
      <c r="S56" s="3"/>
    </row>
    <row r="57" spans="1:19" s="6" customFormat="1" ht="48">
      <c r="A57" s="2" t="str">
        <f>"丁超琼"</f>
        <v>丁超琼</v>
      </c>
      <c r="B57" s="3" t="s">
        <v>10</v>
      </c>
      <c r="C57" s="2" t="str">
        <f>"6646213012713"</f>
        <v>6646213012713</v>
      </c>
      <c r="D57" s="3" t="s">
        <v>144</v>
      </c>
      <c r="E57" s="3" t="s">
        <v>32</v>
      </c>
      <c r="F57" s="3" t="s">
        <v>77</v>
      </c>
      <c r="G57" s="3" t="s">
        <v>87</v>
      </c>
      <c r="H57" s="3"/>
      <c r="I57" s="3" t="s">
        <v>165</v>
      </c>
      <c r="J57" s="3" t="s">
        <v>14</v>
      </c>
      <c r="K57" s="3" t="s">
        <v>170</v>
      </c>
      <c r="L57" s="3" t="s">
        <v>139</v>
      </c>
      <c r="M57" s="2" t="str">
        <f t="shared" si="1"/>
        <v>2016050114</v>
      </c>
      <c r="N57" s="4">
        <v>57.25</v>
      </c>
      <c r="O57" s="3">
        <v>73</v>
      </c>
      <c r="P57" s="5" t="s">
        <v>162</v>
      </c>
      <c r="Q57" s="5" t="s">
        <v>162</v>
      </c>
      <c r="R57" s="5" t="s">
        <v>162</v>
      </c>
      <c r="S57" s="3"/>
    </row>
    <row r="58" spans="1:19" s="6" customFormat="1" ht="48">
      <c r="A58" s="2" t="str">
        <f>"谢欣亦"</f>
        <v>谢欣亦</v>
      </c>
      <c r="B58" s="3" t="s">
        <v>10</v>
      </c>
      <c r="C58" s="2" t="str">
        <f>"6646213012419"</f>
        <v>6646213012419</v>
      </c>
      <c r="D58" s="3" t="s">
        <v>142</v>
      </c>
      <c r="E58" s="3" t="s">
        <v>30</v>
      </c>
      <c r="F58" s="3" t="s">
        <v>88</v>
      </c>
      <c r="G58" s="3" t="s">
        <v>136</v>
      </c>
      <c r="H58" s="3"/>
      <c r="I58" s="3" t="s">
        <v>165</v>
      </c>
      <c r="J58" s="3" t="s">
        <v>14</v>
      </c>
      <c r="K58" s="3" t="s">
        <v>170</v>
      </c>
      <c r="L58" s="3" t="s">
        <v>139</v>
      </c>
      <c r="M58" s="2" t="str">
        <f t="shared" si="1"/>
        <v>2016050114</v>
      </c>
      <c r="N58" s="4">
        <v>56.75</v>
      </c>
      <c r="O58" s="3">
        <v>77</v>
      </c>
      <c r="P58" s="5" t="s">
        <v>162</v>
      </c>
      <c r="Q58" s="5" t="s">
        <v>162</v>
      </c>
      <c r="R58" s="5" t="s">
        <v>162</v>
      </c>
      <c r="S58" s="3"/>
    </row>
    <row r="60" ht="13.5">
      <c r="A60" t="s">
        <v>177</v>
      </c>
    </row>
    <row r="63" ht="13.5">
      <c r="A63" t="s">
        <v>178</v>
      </c>
    </row>
  </sheetData>
  <sheetProtection/>
  <autoFilter ref="A2:Z58"/>
  <mergeCells count="1">
    <mergeCell ref="A1:S1"/>
  </mergeCells>
  <printOptions/>
  <pageMargins left="0.5118110236220472" right="0.4330708661417323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T400</dc:creator>
  <cp:keywords/>
  <dc:description/>
  <cp:lastModifiedBy>微软用户</cp:lastModifiedBy>
  <cp:lastPrinted>2016-09-20T00:40:02Z</cp:lastPrinted>
  <dcterms:created xsi:type="dcterms:W3CDTF">2016-05-19T09:11:27Z</dcterms:created>
  <dcterms:modified xsi:type="dcterms:W3CDTF">2016-09-23T01:46:08Z</dcterms:modified>
  <cp:category/>
  <cp:version/>
  <cp:contentType/>
  <cp:contentStatus/>
</cp:coreProperties>
</file>